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Март/"/>
    </mc:Choice>
  </mc:AlternateContent>
  <xr:revisionPtr revIDLastSave="0" documentId="13_ncr:1_{07403C05-14EB-0149-8834-FD774F9A2909}" xr6:coauthVersionLast="45" xr6:coauthVersionMax="47" xr10:uidLastSave="{00000000-0000-0000-0000-000000000000}"/>
  <bookViews>
    <workbookView xWindow="0" yWindow="460" windowWidth="28760" windowHeight="16280" tabRatio="922" firstSheet="25" activeTab="29" xr2:uid="{00000000-000D-0000-FFFF-FFFF00000000}"/>
  </bookViews>
  <sheets>
    <sheet name="GPA ПЛ без экипировки ДК" sheetId="5" r:id="rId1"/>
    <sheet name="GPA ПЛ без экипировки" sheetId="9" r:id="rId2"/>
    <sheet name="GPA ПЛ в бинтах ДК" sheetId="7" r:id="rId3"/>
    <sheet name="GPA ПЛ в бинтах" sheetId="6" r:id="rId4"/>
    <sheet name="IPO ПЛ однослой ДК" sheetId="8" r:id="rId5"/>
    <sheet name="GPA Двоеборье без экип ДК" sheetId="20" r:id="rId6"/>
    <sheet name="GPA Двоеборье без экип" sheetId="19" r:id="rId7"/>
    <sheet name="GPA Присед без экипировки ДК" sheetId="16" r:id="rId8"/>
    <sheet name="GPA Присед в бинтах ДК" sheetId="18" r:id="rId9"/>
    <sheet name="GPA Присед в бинтах" sheetId="17" r:id="rId10"/>
    <sheet name="GPA Жим без экипировки ДК" sheetId="11" r:id="rId11"/>
    <sheet name="GPA Жим без экипировки" sheetId="10" r:id="rId12"/>
    <sheet name="IPO Жим однослой ДК" sheetId="12" r:id="rId13"/>
    <sheet name="СПР Жим софт однопетельная ДК" sheetId="53" r:id="rId14"/>
    <sheet name="СПР Жим софт однопетельная" sheetId="52" r:id="rId15"/>
    <sheet name="СПР Жим софт многопетельная ДК" sheetId="54" r:id="rId16"/>
    <sheet name="СПР Жим СФО" sheetId="61" r:id="rId17"/>
    <sheet name="IPO Тяга в экипировке" sheetId="15" r:id="rId18"/>
    <sheet name="GPA Тяга без экипировки ДК" sheetId="14" r:id="rId19"/>
    <sheet name="GPA Тяга без экипировки" sheetId="13" r:id="rId20"/>
    <sheet name="СПР Пауэрспорт ДК" sheetId="30" r:id="rId21"/>
    <sheet name="СПР Жим стоя ДК" sheetId="26" r:id="rId22"/>
    <sheet name="СПР Жим стоя" sheetId="25" r:id="rId23"/>
    <sheet name="СПР Подъем на бицепс ДК" sheetId="28" r:id="rId24"/>
    <sheet name="СПР Подъем на бицепс" sheetId="27" r:id="rId25"/>
    <sheet name="ФЖД Любители двоеборье" sheetId="39" r:id="rId26"/>
    <sheet name="ФЖД Любители жим максимум ДК" sheetId="44" r:id="rId27"/>
    <sheet name="ФЖД Любители жим максимум" sheetId="40" r:id="rId28"/>
    <sheet name="ФЖД Софт однопетельн.макс." sheetId="47" r:id="rId29"/>
    <sheet name="ФЖД Армейский жим макс." sheetId="49" r:id="rId30"/>
  </sheets>
  <definedNames>
    <definedName name="_FilterDatabase" localSheetId="0" hidden="1">'GPA ПЛ без экипировки ДК'!$A$1:$S$3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5" i="7" l="1"/>
  <c r="T14" i="7"/>
  <c r="L6" i="49"/>
  <c r="K6" i="49"/>
  <c r="T10" i="7" l="1"/>
  <c r="S10" i="7"/>
  <c r="T6" i="7"/>
  <c r="S6" i="7"/>
  <c r="L10" i="61"/>
  <c r="L9" i="61"/>
  <c r="L6" i="61"/>
  <c r="K6" i="61"/>
  <c r="L7" i="54"/>
  <c r="K7" i="54"/>
  <c r="L6" i="54"/>
  <c r="K6" i="54"/>
  <c r="L18" i="53"/>
  <c r="K18" i="53"/>
  <c r="L15" i="53"/>
  <c r="K15" i="53"/>
  <c r="L12" i="53"/>
  <c r="K12" i="53"/>
  <c r="L9" i="53"/>
  <c r="K9" i="53"/>
  <c r="L6" i="53"/>
  <c r="K6" i="53"/>
  <c r="L9" i="52"/>
  <c r="K9" i="52"/>
  <c r="L6" i="52"/>
  <c r="K6" i="52"/>
  <c r="L6" i="47"/>
  <c r="K6" i="47"/>
  <c r="L6" i="44"/>
  <c r="K6" i="44"/>
  <c r="L6" i="40"/>
  <c r="K6" i="40"/>
  <c r="N13" i="39"/>
  <c r="M13" i="39"/>
  <c r="N12" i="39"/>
  <c r="M12" i="39"/>
  <c r="N9" i="39"/>
  <c r="M9" i="39"/>
  <c r="N6" i="39"/>
  <c r="M6" i="39"/>
  <c r="P24" i="30"/>
  <c r="O24" i="30"/>
  <c r="P21" i="30"/>
  <c r="O21" i="30"/>
  <c r="P18" i="30"/>
  <c r="O18" i="30"/>
  <c r="P15" i="30"/>
  <c r="O15" i="30"/>
  <c r="P12" i="30"/>
  <c r="O12" i="30"/>
  <c r="P11" i="30"/>
  <c r="O11" i="30"/>
  <c r="P8" i="30"/>
  <c r="O8" i="30"/>
  <c r="P7" i="30"/>
  <c r="O7" i="30"/>
  <c r="P6" i="30"/>
  <c r="O6" i="30"/>
  <c r="L25" i="28"/>
  <c r="K25" i="28"/>
  <c r="L24" i="28"/>
  <c r="K24" i="28"/>
  <c r="L23" i="28"/>
  <c r="K23" i="28"/>
  <c r="L20" i="28"/>
  <c r="K20" i="28"/>
  <c r="L17" i="28"/>
  <c r="K17" i="28"/>
  <c r="L14" i="28"/>
  <c r="K14" i="28"/>
  <c r="L13" i="28"/>
  <c r="K13" i="28"/>
  <c r="L12" i="28"/>
  <c r="K12" i="28"/>
  <c r="L9" i="28"/>
  <c r="K9" i="28"/>
  <c r="L6" i="28"/>
  <c r="K6" i="28"/>
  <c r="L9" i="27"/>
  <c r="K9" i="27"/>
  <c r="L6" i="27"/>
  <c r="K6" i="27"/>
  <c r="L9" i="26"/>
  <c r="K9" i="26"/>
  <c r="L6" i="26"/>
  <c r="K6" i="26"/>
  <c r="L9" i="25"/>
  <c r="K9" i="25"/>
  <c r="L6" i="25"/>
  <c r="K6" i="25"/>
  <c r="P24" i="20"/>
  <c r="O24" i="20"/>
  <c r="P23" i="20"/>
  <c r="O23" i="20"/>
  <c r="P20" i="20"/>
  <c r="O20" i="20"/>
  <c r="P17" i="20"/>
  <c r="O17" i="20"/>
  <c r="P16" i="20"/>
  <c r="O16" i="20"/>
  <c r="P15" i="20"/>
  <c r="O15" i="20"/>
  <c r="P14" i="20"/>
  <c r="O14" i="20"/>
  <c r="P11" i="20"/>
  <c r="O11" i="20"/>
  <c r="P10" i="20"/>
  <c r="O10" i="20"/>
  <c r="P7" i="20"/>
  <c r="O7" i="20"/>
  <c r="P6" i="20"/>
  <c r="O6" i="20"/>
  <c r="P9" i="19"/>
  <c r="O9" i="19"/>
  <c r="P6" i="19"/>
  <c r="O6" i="19"/>
  <c r="L17" i="18"/>
  <c r="K17" i="18"/>
  <c r="L16" i="18"/>
  <c r="K16" i="18"/>
  <c r="L15" i="18"/>
  <c r="K15" i="18"/>
  <c r="L14" i="18"/>
  <c r="K14" i="18"/>
  <c r="L11" i="18"/>
  <c r="K11" i="18"/>
  <c r="L10" i="18"/>
  <c r="K10" i="18"/>
  <c r="L7" i="18"/>
  <c r="K7" i="18"/>
  <c r="L6" i="18"/>
  <c r="K6" i="18"/>
  <c r="L6" i="17"/>
  <c r="K6" i="17"/>
  <c r="L6" i="16"/>
  <c r="L6" i="15"/>
  <c r="K6" i="15"/>
  <c r="L37" i="14"/>
  <c r="K37" i="14"/>
  <c r="L36" i="14"/>
  <c r="K36" i="14"/>
  <c r="L35" i="14"/>
  <c r="K35" i="14"/>
  <c r="L32" i="14"/>
  <c r="K32" i="14"/>
  <c r="L31" i="14"/>
  <c r="K31" i="14"/>
  <c r="L30" i="14"/>
  <c r="K30" i="14"/>
  <c r="L29" i="14"/>
  <c r="K29" i="14"/>
  <c r="L26" i="14"/>
  <c r="K26" i="14"/>
  <c r="L23" i="14"/>
  <c r="K23" i="14"/>
  <c r="L20" i="14"/>
  <c r="K20" i="14"/>
  <c r="L19" i="14"/>
  <c r="K19" i="14"/>
  <c r="L18" i="14"/>
  <c r="K18" i="14"/>
  <c r="L17" i="14"/>
  <c r="K17" i="14"/>
  <c r="L16" i="14"/>
  <c r="K16" i="14"/>
  <c r="L15" i="14"/>
  <c r="K15" i="14"/>
  <c r="L14" i="14"/>
  <c r="K14" i="14"/>
  <c r="L11" i="14"/>
  <c r="K11" i="14"/>
  <c r="L10" i="14"/>
  <c r="K10" i="14"/>
  <c r="L7" i="14"/>
  <c r="K7" i="14"/>
  <c r="L6" i="14"/>
  <c r="K6" i="14"/>
  <c r="L9" i="13"/>
  <c r="K9" i="13"/>
  <c r="L6" i="13"/>
  <c r="K6" i="13"/>
  <c r="L6" i="12"/>
  <c r="K6" i="12"/>
  <c r="L58" i="11"/>
  <c r="K58" i="11"/>
  <c r="L55" i="11"/>
  <c r="K55" i="11"/>
  <c r="L54" i="11"/>
  <c r="K54" i="11"/>
  <c r="L53" i="11"/>
  <c r="K53" i="11"/>
  <c r="L50" i="11"/>
  <c r="K50" i="11"/>
  <c r="L49" i="11"/>
  <c r="K49" i="11"/>
  <c r="L48" i="11"/>
  <c r="K48" i="11"/>
  <c r="L47" i="11"/>
  <c r="K47" i="11"/>
  <c r="L44" i="11"/>
  <c r="K44" i="11"/>
  <c r="L43" i="11"/>
  <c r="K43" i="11"/>
  <c r="L42" i="11"/>
  <c r="K42" i="11"/>
  <c r="L41" i="11"/>
  <c r="K41" i="11"/>
  <c r="L38" i="11"/>
  <c r="K38" i="11"/>
  <c r="L37" i="11"/>
  <c r="K37" i="11"/>
  <c r="L36" i="11"/>
  <c r="K36" i="11"/>
  <c r="L33" i="11"/>
  <c r="K33" i="11"/>
  <c r="L32" i="11"/>
  <c r="K32" i="11"/>
  <c r="L31" i="11"/>
  <c r="K31" i="11"/>
  <c r="L30" i="11"/>
  <c r="K30" i="11"/>
  <c r="L27" i="11"/>
  <c r="K27" i="11"/>
  <c r="L24" i="11"/>
  <c r="K24" i="11"/>
  <c r="L21" i="11"/>
  <c r="K21" i="11"/>
  <c r="L18" i="11"/>
  <c r="K18" i="11"/>
  <c r="L17" i="11"/>
  <c r="K17" i="11"/>
  <c r="L16" i="11"/>
  <c r="K16" i="11"/>
  <c r="L15" i="11"/>
  <c r="K15" i="11"/>
  <c r="L14" i="11"/>
  <c r="K14" i="11"/>
  <c r="L11" i="11"/>
  <c r="K11" i="11"/>
  <c r="L10" i="11"/>
  <c r="K10" i="11"/>
  <c r="L7" i="11"/>
  <c r="K7" i="11"/>
  <c r="L6" i="11"/>
  <c r="K6" i="11"/>
  <c r="L27" i="10"/>
  <c r="K27" i="10"/>
  <c r="L24" i="10"/>
  <c r="K24" i="10"/>
  <c r="L21" i="10"/>
  <c r="K21" i="10"/>
  <c r="L18" i="10"/>
  <c r="K18" i="10"/>
  <c r="L15" i="10"/>
  <c r="K15" i="10"/>
  <c r="L12" i="10"/>
  <c r="K12" i="10"/>
  <c r="L9" i="10"/>
  <c r="K9" i="10"/>
  <c r="L6" i="10"/>
  <c r="K6" i="10"/>
  <c r="T7" i="9"/>
  <c r="S7" i="9"/>
  <c r="T6" i="9"/>
  <c r="S6" i="9"/>
  <c r="T6" i="8"/>
  <c r="S6" i="8"/>
  <c r="T28" i="7"/>
  <c r="S28" i="7"/>
  <c r="T25" i="7"/>
  <c r="S25" i="7"/>
  <c r="T22" i="7"/>
  <c r="S22" i="7"/>
  <c r="T21" i="7"/>
  <c r="T18" i="7"/>
  <c r="S18" i="7"/>
  <c r="T17" i="7"/>
  <c r="S17" i="7"/>
  <c r="T16" i="7"/>
  <c r="S16" i="7"/>
  <c r="T11" i="7"/>
  <c r="S11" i="7"/>
  <c r="T7" i="7"/>
  <c r="S7" i="7"/>
  <c r="T20" i="6"/>
  <c r="S20" i="6"/>
  <c r="T17" i="6"/>
  <c r="T14" i="6"/>
  <c r="S14" i="6"/>
  <c r="T13" i="6"/>
  <c r="S13" i="6"/>
  <c r="T10" i="6"/>
  <c r="S10" i="6"/>
  <c r="T7" i="6"/>
  <c r="S7" i="6"/>
  <c r="T6" i="6"/>
  <c r="S6" i="6"/>
  <c r="T49" i="5"/>
  <c r="S49" i="5"/>
  <c r="T46" i="5"/>
  <c r="S46" i="5"/>
  <c r="T43" i="5"/>
  <c r="S43" i="5"/>
  <c r="T42" i="5"/>
  <c r="T41" i="5"/>
  <c r="T40" i="5"/>
  <c r="S40" i="5"/>
  <c r="T39" i="5"/>
  <c r="S39" i="5"/>
  <c r="T36" i="5"/>
  <c r="S36" i="5"/>
  <c r="T35" i="5"/>
  <c r="S35" i="5"/>
  <c r="T31" i="5"/>
  <c r="S31" i="5"/>
  <c r="T32" i="5"/>
  <c r="S32" i="5"/>
  <c r="T30" i="5"/>
  <c r="S30" i="5"/>
  <c r="T27" i="5"/>
  <c r="S27" i="5"/>
  <c r="T24" i="5"/>
  <c r="S24" i="5"/>
  <c r="T21" i="5"/>
  <c r="S21" i="5"/>
  <c r="T20" i="5"/>
  <c r="S20" i="5"/>
  <c r="T19" i="5"/>
  <c r="S19" i="5"/>
  <c r="T16" i="5"/>
  <c r="S16" i="5"/>
  <c r="T15" i="5"/>
  <c r="S15" i="5"/>
  <c r="T14" i="5"/>
  <c r="S14" i="5"/>
  <c r="T13" i="5"/>
  <c r="S13" i="5"/>
  <c r="T10" i="5"/>
  <c r="S10" i="5"/>
  <c r="T9" i="5"/>
  <c r="S9" i="5"/>
  <c r="T8" i="5"/>
  <c r="S8" i="5"/>
  <c r="T7" i="5"/>
  <c r="S7" i="5"/>
  <c r="T6" i="5"/>
  <c r="S6" i="5"/>
</calcChain>
</file>

<file path=xl/sharedStrings.xml><?xml version="1.0" encoding="utf-8"?>
<sst xmlns="http://schemas.openxmlformats.org/spreadsheetml/2006/main" count="2888" uniqueCount="669">
  <si>
    <t>ФИО</t>
  </si>
  <si>
    <t>Сумма</t>
  </si>
  <si>
    <t>Тренер</t>
  </si>
  <si>
    <t>Очки</t>
  </si>
  <si>
    <t>Рек</t>
  </si>
  <si>
    <t>Город/Область</t>
  </si>
  <si>
    <t>Вес</t>
  </si>
  <si>
    <t>Повторы</t>
  </si>
  <si>
    <t>Собственный 
вес</t>
  </si>
  <si>
    <t>Приседание</t>
  </si>
  <si>
    <t>Жим лёжа</t>
  </si>
  <si>
    <t>Становая тяга</t>
  </si>
  <si>
    <t>ВЕСОВАЯ КАТЕГОРИЯ   56</t>
  </si>
  <si>
    <t>Хуснутдинова Наталья</t>
  </si>
  <si>
    <t>Открытая (28.02.1979)/43</t>
  </si>
  <si>
    <t>55,00</t>
  </si>
  <si>
    <t xml:space="preserve">Кемерово/Кемеровская область </t>
  </si>
  <si>
    <t>80,0</t>
  </si>
  <si>
    <t>45,0</t>
  </si>
  <si>
    <t>50,0</t>
  </si>
  <si>
    <t>52,5</t>
  </si>
  <si>
    <t>100,0</t>
  </si>
  <si>
    <t>105,0</t>
  </si>
  <si>
    <t>110,0</t>
  </si>
  <si>
    <t>Петухова Татьяна</t>
  </si>
  <si>
    <t>Открытая (16.02.1994)/28</t>
  </si>
  <si>
    <t xml:space="preserve">Балашиха/Московская область </t>
  </si>
  <si>
    <t>57,5</t>
  </si>
  <si>
    <t>65,0</t>
  </si>
  <si>
    <t>70,0</t>
  </si>
  <si>
    <t>32,5</t>
  </si>
  <si>
    <t>37,5</t>
  </si>
  <si>
    <t>40,0</t>
  </si>
  <si>
    <t>67,5</t>
  </si>
  <si>
    <t>72,5</t>
  </si>
  <si>
    <t>75,0</t>
  </si>
  <si>
    <t xml:space="preserve">Кленин М. </t>
  </si>
  <si>
    <t>Алексеева Татьяна</t>
  </si>
  <si>
    <t>55,40</t>
  </si>
  <si>
    <t xml:space="preserve">Орёл/Орловская область </t>
  </si>
  <si>
    <t>77,5</t>
  </si>
  <si>
    <t>82,5</t>
  </si>
  <si>
    <t>62,5</t>
  </si>
  <si>
    <t>97,5</t>
  </si>
  <si>
    <t>102,5</t>
  </si>
  <si>
    <t xml:space="preserve">Волков Н. </t>
  </si>
  <si>
    <t>Князева Марина</t>
  </si>
  <si>
    <t>54,60</t>
  </si>
  <si>
    <t>35,0</t>
  </si>
  <si>
    <t>42,5</t>
  </si>
  <si>
    <t>60,0</t>
  </si>
  <si>
    <t xml:space="preserve">Юдин Г. </t>
  </si>
  <si>
    <t>Шульгина Ольга</t>
  </si>
  <si>
    <t>55,10</t>
  </si>
  <si>
    <t>90,0</t>
  </si>
  <si>
    <t>117,5</t>
  </si>
  <si>
    <t>ВЕСОВАЯ КАТЕГОРИЯ   60</t>
  </si>
  <si>
    <t>Чупракова Екатерина</t>
  </si>
  <si>
    <t>Открытая (11.05.1982)/39</t>
  </si>
  <si>
    <t>58,30</t>
  </si>
  <si>
    <t>115,0</t>
  </si>
  <si>
    <t>122,5</t>
  </si>
  <si>
    <t>127,5</t>
  </si>
  <si>
    <t>Корчагина Оксана</t>
  </si>
  <si>
    <t>Открытая (22.08.1984)/37</t>
  </si>
  <si>
    <t>59,40</t>
  </si>
  <si>
    <t xml:space="preserve">Пушкино/Московская область </t>
  </si>
  <si>
    <t>112,5</t>
  </si>
  <si>
    <t>120,0</t>
  </si>
  <si>
    <t>Чулкова Ксения</t>
  </si>
  <si>
    <t>Открытая (26.07.1986)/35</t>
  </si>
  <si>
    <t>58,60</t>
  </si>
  <si>
    <t xml:space="preserve">Томск/Томская область </t>
  </si>
  <si>
    <t>85,0</t>
  </si>
  <si>
    <t>92,5</t>
  </si>
  <si>
    <t>Авраменко Евгения</t>
  </si>
  <si>
    <t>59,70</t>
  </si>
  <si>
    <t xml:space="preserve">Москва </t>
  </si>
  <si>
    <t>47,5</t>
  </si>
  <si>
    <t>ВЕСОВАЯ КАТЕГОРИЯ   67.5</t>
  </si>
  <si>
    <t>Солдаткина Мария</t>
  </si>
  <si>
    <t>65,30</t>
  </si>
  <si>
    <t>Раскачнова Ирина</t>
  </si>
  <si>
    <t>Открытая (20.03.1973)/48</t>
  </si>
  <si>
    <t>64,80</t>
  </si>
  <si>
    <t>55,0</t>
  </si>
  <si>
    <t>130,0</t>
  </si>
  <si>
    <t>140,0</t>
  </si>
  <si>
    <t>Сосновская Анастасия</t>
  </si>
  <si>
    <t>Открытая (09.08.1994)/27</t>
  </si>
  <si>
    <t>65,50</t>
  </si>
  <si>
    <t>107,5</t>
  </si>
  <si>
    <t>Лашманов Дмитрий</t>
  </si>
  <si>
    <t>Открытая (05.01.1996)/26</t>
  </si>
  <si>
    <t>57,80</t>
  </si>
  <si>
    <t xml:space="preserve">Нижний Новгород/Нижегородская область </t>
  </si>
  <si>
    <t>135,0</t>
  </si>
  <si>
    <t>150,0</t>
  </si>
  <si>
    <t>165,0</t>
  </si>
  <si>
    <t>170,0</t>
  </si>
  <si>
    <t>Калибабов Денис</t>
  </si>
  <si>
    <t>Открытая (04.01.1988)/34</t>
  </si>
  <si>
    <t>66,40</t>
  </si>
  <si>
    <t xml:space="preserve">Тюмень/Тюменская область </t>
  </si>
  <si>
    <t>125,0</t>
  </si>
  <si>
    <t>190,0</t>
  </si>
  <si>
    <t>200,0</t>
  </si>
  <si>
    <t>205,0</t>
  </si>
  <si>
    <t>ВЕСОВАЯ КАТЕГОРИЯ   75</t>
  </si>
  <si>
    <t>Харламов Роман</t>
  </si>
  <si>
    <t>Открытая (23.01.1997)/25</t>
  </si>
  <si>
    <t>73,30</t>
  </si>
  <si>
    <t>142,5</t>
  </si>
  <si>
    <t>162,5</t>
  </si>
  <si>
    <t>Гончаров Лев</t>
  </si>
  <si>
    <t>73,10</t>
  </si>
  <si>
    <t>157,5</t>
  </si>
  <si>
    <t>Ласков Роман</t>
  </si>
  <si>
    <t>71,10</t>
  </si>
  <si>
    <t xml:space="preserve">Тула/Тульская область </t>
  </si>
  <si>
    <t>145,0</t>
  </si>
  <si>
    <t>152,5</t>
  </si>
  <si>
    <t>160,0</t>
  </si>
  <si>
    <t>ВЕСОВАЯ КАТЕГОРИЯ   82.5</t>
  </si>
  <si>
    <t>Шабанов Артем</t>
  </si>
  <si>
    <t>Открытая (20.03.1994)/27</t>
  </si>
  <si>
    <t>81,85</t>
  </si>
  <si>
    <t>185,0</t>
  </si>
  <si>
    <t>195,0</t>
  </si>
  <si>
    <t>210,0</t>
  </si>
  <si>
    <t>227,5</t>
  </si>
  <si>
    <t>230,0</t>
  </si>
  <si>
    <t>Кафаш Михаил</t>
  </si>
  <si>
    <t>Открытая (25.02.1996)/26</t>
  </si>
  <si>
    <t>81,10</t>
  </si>
  <si>
    <t xml:space="preserve">Солнечногорск/Московская область </t>
  </si>
  <si>
    <t>155,0</t>
  </si>
  <si>
    <t>ВЕСОВАЯ КАТЕГОРИЯ   90</t>
  </si>
  <si>
    <t>Румасов Андрей</t>
  </si>
  <si>
    <t>Открытая (10.03.1991)/31</t>
  </si>
  <si>
    <t>89,70</t>
  </si>
  <si>
    <t>235,0</t>
  </si>
  <si>
    <t>242,5</t>
  </si>
  <si>
    <t>147,5</t>
  </si>
  <si>
    <t>265,0</t>
  </si>
  <si>
    <t>285,0</t>
  </si>
  <si>
    <t>305,0</t>
  </si>
  <si>
    <t>Супрунов Дмитрий</t>
  </si>
  <si>
    <t>Открытая (08.06.1989)/32</t>
  </si>
  <si>
    <t>89,80</t>
  </si>
  <si>
    <t>212,5</t>
  </si>
  <si>
    <t>222,5</t>
  </si>
  <si>
    <t>245,0</t>
  </si>
  <si>
    <t>255,0</t>
  </si>
  <si>
    <t>Кондраханов Александр</t>
  </si>
  <si>
    <t>Открытая (19.02.1989)/33</t>
  </si>
  <si>
    <t>85,80</t>
  </si>
  <si>
    <t>Сидельников Егор</t>
  </si>
  <si>
    <t>Открытая (15.11.1993)/28</t>
  </si>
  <si>
    <t>90,00</t>
  </si>
  <si>
    <t>207,5</t>
  </si>
  <si>
    <t>215,0</t>
  </si>
  <si>
    <t>220,0</t>
  </si>
  <si>
    <t>Мокин Роман</t>
  </si>
  <si>
    <t>88,10</t>
  </si>
  <si>
    <t xml:space="preserve">Лобня/Московская область </t>
  </si>
  <si>
    <t>180,0</t>
  </si>
  <si>
    <t>ВЕСОВАЯ КАТЕГОРИЯ   100</t>
  </si>
  <si>
    <t>Михеев Михаил</t>
  </si>
  <si>
    <t>98,80</t>
  </si>
  <si>
    <t>172,5</t>
  </si>
  <si>
    <t>177,5</t>
  </si>
  <si>
    <t>182,5</t>
  </si>
  <si>
    <t>ВЕСОВАЯ КАТЕГОРИЯ   110</t>
  </si>
  <si>
    <t>Дорин Владимир</t>
  </si>
  <si>
    <t>Открытая (02.06.1990)/31</t>
  </si>
  <si>
    <t>107,30</t>
  </si>
  <si>
    <t xml:space="preserve">Абсолютный зачёт </t>
  </si>
  <si>
    <t xml:space="preserve">Женщины </t>
  </si>
  <si>
    <t xml:space="preserve">ФИО </t>
  </si>
  <si>
    <t xml:space="preserve">Возрастная группа </t>
  </si>
  <si>
    <t xml:space="preserve">Сумма </t>
  </si>
  <si>
    <t xml:space="preserve">Reshel </t>
  </si>
  <si>
    <t>67.5</t>
  </si>
  <si>
    <t xml:space="preserve">Открытая </t>
  </si>
  <si>
    <t>60</t>
  </si>
  <si>
    <t>310,0</t>
  </si>
  <si>
    <t>566,7420</t>
  </si>
  <si>
    <t>522,3500</t>
  </si>
  <si>
    <t>282,5</t>
  </si>
  <si>
    <t>507,8785</t>
  </si>
  <si>
    <t>250,0</t>
  </si>
  <si>
    <t xml:space="preserve">Мужчины </t>
  </si>
  <si>
    <t>100</t>
  </si>
  <si>
    <t>90</t>
  </si>
  <si>
    <t>642,5</t>
  </si>
  <si>
    <t>623,4820</t>
  </si>
  <si>
    <t>635,0</t>
  </si>
  <si>
    <t>615,8230</t>
  </si>
  <si>
    <t>82.5</t>
  </si>
  <si>
    <t>570,0</t>
  </si>
  <si>
    <t>590,0640</t>
  </si>
  <si>
    <t>1</t>
  </si>
  <si>
    <t>2</t>
  </si>
  <si>
    <t/>
  </si>
  <si>
    <t>3</t>
  </si>
  <si>
    <t>-</t>
  </si>
  <si>
    <t>Большакова Александра</t>
  </si>
  <si>
    <t>73,00</t>
  </si>
  <si>
    <t xml:space="preserve">Владимир/Владимирская область </t>
  </si>
  <si>
    <t>132,5</t>
  </si>
  <si>
    <t xml:space="preserve">Луговой А. </t>
  </si>
  <si>
    <t>Казарина Елена</t>
  </si>
  <si>
    <t>74,30</t>
  </si>
  <si>
    <t xml:space="preserve">Королёв/Московская область </t>
  </si>
  <si>
    <t>Рек Александр</t>
  </si>
  <si>
    <t>Открытая (13.07.1987)/34</t>
  </si>
  <si>
    <t>67,20</t>
  </si>
  <si>
    <t>217,5</t>
  </si>
  <si>
    <t>225,0</t>
  </si>
  <si>
    <t>Венгер Александр</t>
  </si>
  <si>
    <t>Открытая (22.02.1988)/34</t>
  </si>
  <si>
    <t>89,00</t>
  </si>
  <si>
    <t>275,0</t>
  </si>
  <si>
    <t>290,0</t>
  </si>
  <si>
    <t>260,0</t>
  </si>
  <si>
    <t>270,0</t>
  </si>
  <si>
    <t>Марков Анатолий</t>
  </si>
  <si>
    <t>175,0</t>
  </si>
  <si>
    <t>Костоломов Дмитрий</t>
  </si>
  <si>
    <t>Открытая (12.12.1991)/30</t>
  </si>
  <si>
    <t>95,90</t>
  </si>
  <si>
    <t xml:space="preserve">Истра/Московская область </t>
  </si>
  <si>
    <t>Мамцев Евгений</t>
  </si>
  <si>
    <t>Открытая (01.02.1987)/35</t>
  </si>
  <si>
    <t>109,10</t>
  </si>
  <si>
    <t>280,0</t>
  </si>
  <si>
    <t>295,0</t>
  </si>
  <si>
    <t>300,0</t>
  </si>
  <si>
    <t xml:space="preserve">Румянцев С. </t>
  </si>
  <si>
    <t>75</t>
  </si>
  <si>
    <t>ВЕСОВАЯ КАТЕГОРИЯ   44</t>
  </si>
  <si>
    <t>Гусева Ксения</t>
  </si>
  <si>
    <t>43,70</t>
  </si>
  <si>
    <t>Открытая (26.06.2000)/21</t>
  </si>
  <si>
    <t>87,5</t>
  </si>
  <si>
    <t>95,0</t>
  </si>
  <si>
    <t>ВЕСОВАЯ КАТЕГОРИЯ   52</t>
  </si>
  <si>
    <t>Жирнова Анна</t>
  </si>
  <si>
    <t>50,70</t>
  </si>
  <si>
    <t xml:space="preserve">Челябинск/Челябинская область </t>
  </si>
  <si>
    <t>Открытая (12.07.2002)/19</t>
  </si>
  <si>
    <t>Булдакова Софья</t>
  </si>
  <si>
    <t>54,00</t>
  </si>
  <si>
    <t xml:space="preserve">Глазов/Удмуртия </t>
  </si>
  <si>
    <t>30,0</t>
  </si>
  <si>
    <t>Джунусбаева Бегимай</t>
  </si>
  <si>
    <t>55,20</t>
  </si>
  <si>
    <t>Балякина Евгения</t>
  </si>
  <si>
    <t>Открытая (15.12.1990)/31</t>
  </si>
  <si>
    <t>55,80</t>
  </si>
  <si>
    <t>Открытая (12.03.2003)/19</t>
  </si>
  <si>
    <t>Открытая (13.01.2002)/20</t>
  </si>
  <si>
    <t>Прокопенко Андрей</t>
  </si>
  <si>
    <t>81,30</t>
  </si>
  <si>
    <t>167,5</t>
  </si>
  <si>
    <t>Масолбасов Алексей</t>
  </si>
  <si>
    <t>Открытая (29.03.2002)/19</t>
  </si>
  <si>
    <t>78,60</t>
  </si>
  <si>
    <t>Ручканов Александр</t>
  </si>
  <si>
    <t>Открытая (24.06.1994)/27</t>
  </si>
  <si>
    <t>94,80</t>
  </si>
  <si>
    <t>Трунов Олег</t>
  </si>
  <si>
    <t>Открытая (08.08.1988)/33</t>
  </si>
  <si>
    <t>104,20</t>
  </si>
  <si>
    <t>257,5</t>
  </si>
  <si>
    <t>56</t>
  </si>
  <si>
    <t>360,0</t>
  </si>
  <si>
    <t>688,3920</t>
  </si>
  <si>
    <t>44</t>
  </si>
  <si>
    <t>232,5</t>
  </si>
  <si>
    <t>618,6825</t>
  </si>
  <si>
    <t>52</t>
  </si>
  <si>
    <t>192,5</t>
  </si>
  <si>
    <t>413,6440</t>
  </si>
  <si>
    <t>Макеев Евгений</t>
  </si>
  <si>
    <t>Открытая (17.08.1990)/31</t>
  </si>
  <si>
    <t>88,40</t>
  </si>
  <si>
    <t xml:space="preserve">Орехово-Зуево/Московская область </t>
  </si>
  <si>
    <t>240,0</t>
  </si>
  <si>
    <t xml:space="preserve">Хвалевко К. </t>
  </si>
  <si>
    <t>ВЕСОВАЯ КАТЕГОРИЯ   125</t>
  </si>
  <si>
    <t>Омаров Закир</t>
  </si>
  <si>
    <t>114,90</t>
  </si>
  <si>
    <t>137,5</t>
  </si>
  <si>
    <t xml:space="preserve">Омаров А. </t>
  </si>
  <si>
    <t>Открытая (31.07.1998)/23</t>
  </si>
  <si>
    <t>Сухарев Никита</t>
  </si>
  <si>
    <t>46,00</t>
  </si>
  <si>
    <t xml:space="preserve">Люберцы/Московская область </t>
  </si>
  <si>
    <t>25,0</t>
  </si>
  <si>
    <t>Лотарев Дмитрий</t>
  </si>
  <si>
    <t>69,20</t>
  </si>
  <si>
    <t>Воронин Кирилл</t>
  </si>
  <si>
    <t>Открытая (22.04.1988)/33</t>
  </si>
  <si>
    <t>87,10</t>
  </si>
  <si>
    <t xml:space="preserve">Подольск/Московская область </t>
  </si>
  <si>
    <t>Вабищевич Иван</t>
  </si>
  <si>
    <t>Открытая (01.04.1991)/30</t>
  </si>
  <si>
    <t>99,40</t>
  </si>
  <si>
    <t>Степанов Тимофей</t>
  </si>
  <si>
    <t>109,00</t>
  </si>
  <si>
    <t>Крюков Владислав</t>
  </si>
  <si>
    <t>113,90</t>
  </si>
  <si>
    <t>ВЕСОВАЯ КАТЕГОРИЯ   140</t>
  </si>
  <si>
    <t>Горбунов Александр</t>
  </si>
  <si>
    <t>Открытая (15.09.1986)/35</t>
  </si>
  <si>
    <t>135,10</t>
  </si>
  <si>
    <t xml:space="preserve">Результат </t>
  </si>
  <si>
    <t>Результат</t>
  </si>
  <si>
    <t>Страшнова Анастасия</t>
  </si>
  <si>
    <t>Открытая (13.12.1990)/31</t>
  </si>
  <si>
    <t>59,90</t>
  </si>
  <si>
    <t>Насекина Наталья</t>
  </si>
  <si>
    <t>Открытая (15.08.1984)/37</t>
  </si>
  <si>
    <t>86,60</t>
  </si>
  <si>
    <t>Юлдашбаев Мурат</t>
  </si>
  <si>
    <t>61,50</t>
  </si>
  <si>
    <t>Пеку Юрий</t>
  </si>
  <si>
    <t>Открытая (28.08.1988)/33</t>
  </si>
  <si>
    <t>74,10</t>
  </si>
  <si>
    <t xml:space="preserve">Химки/Московская область </t>
  </si>
  <si>
    <t>Степанов Григорий</t>
  </si>
  <si>
    <t>Открытая (11.07.1980)/41</t>
  </si>
  <si>
    <t>75,00</t>
  </si>
  <si>
    <t>Сушков Даниил</t>
  </si>
  <si>
    <t>Открытая (11.05.1988)/33</t>
  </si>
  <si>
    <t>74,20</t>
  </si>
  <si>
    <t>Андреев Дмитрий</t>
  </si>
  <si>
    <t>Фролов Станислав</t>
  </si>
  <si>
    <t>Открытая (15.09.1991)/30</t>
  </si>
  <si>
    <t>89,60</t>
  </si>
  <si>
    <t>187,5</t>
  </si>
  <si>
    <t>Кондратьев Сергей</t>
  </si>
  <si>
    <t>Открытая (23.09.1992)/29</t>
  </si>
  <si>
    <t>88,70</t>
  </si>
  <si>
    <t xml:space="preserve">Краснозаводск/Московская область </t>
  </si>
  <si>
    <t>Лалас Сергей</t>
  </si>
  <si>
    <t>Открытая (10.05.1985)/36</t>
  </si>
  <si>
    <t>89,40</t>
  </si>
  <si>
    <t xml:space="preserve">Долгопрудный/Московская область </t>
  </si>
  <si>
    <t>Камель Владислав</t>
  </si>
  <si>
    <t>Толстов Роман</t>
  </si>
  <si>
    <t>99,90</t>
  </si>
  <si>
    <t>Мищенко Артем</t>
  </si>
  <si>
    <t>Открытая (26.06.1984)/37</t>
  </si>
  <si>
    <t>91,60</t>
  </si>
  <si>
    <t xml:space="preserve">Чокаев У. </t>
  </si>
  <si>
    <t>Живодеров Вячеслав</t>
  </si>
  <si>
    <t>Открытая (20.10.1990)/31</t>
  </si>
  <si>
    <t>98,40</t>
  </si>
  <si>
    <t>Медведев Владимир</t>
  </si>
  <si>
    <t>97,60</t>
  </si>
  <si>
    <t xml:space="preserve">Нахабино/Московская область </t>
  </si>
  <si>
    <t>Сыромясов Владимир</t>
  </si>
  <si>
    <t>Открытая (23.04.1972)/49</t>
  </si>
  <si>
    <t>107,70</t>
  </si>
  <si>
    <t>Васютин Андрей</t>
  </si>
  <si>
    <t>Открытая (22.03.1986)/35</t>
  </si>
  <si>
    <t xml:space="preserve">Щёкино/Тульская область </t>
  </si>
  <si>
    <t xml:space="preserve">Прокофьев А. </t>
  </si>
  <si>
    <t>Чубаров Владимир</t>
  </si>
  <si>
    <t>132,10</t>
  </si>
  <si>
    <t>126,3975</t>
  </si>
  <si>
    <t>111,5875</t>
  </si>
  <si>
    <t>90,0750</t>
  </si>
  <si>
    <t>196,1440</t>
  </si>
  <si>
    <t>172,3880</t>
  </si>
  <si>
    <t>152,6040</t>
  </si>
  <si>
    <t>Никонов Денис</t>
  </si>
  <si>
    <t>Открытая (21.03.1982)/39</t>
  </si>
  <si>
    <t>84,80</t>
  </si>
  <si>
    <t xml:space="preserve">Чекренев А. </t>
  </si>
  <si>
    <t>Краснопёров Платон</t>
  </si>
  <si>
    <t>38,20</t>
  </si>
  <si>
    <t>Цветкова Светлана</t>
  </si>
  <si>
    <t>Открытая (10.03.1980)/42</t>
  </si>
  <si>
    <t>55,70</t>
  </si>
  <si>
    <t>Балашова Светлана</t>
  </si>
  <si>
    <t>Открытая (10.02.1985)/37</t>
  </si>
  <si>
    <t>58,90</t>
  </si>
  <si>
    <t>Болтенков Максим</t>
  </si>
  <si>
    <t>Открытая (28.02.1998)/24</t>
  </si>
  <si>
    <t>Бобочонов Умедчон</t>
  </si>
  <si>
    <t>80,30</t>
  </si>
  <si>
    <t>Скокин Виктор</t>
  </si>
  <si>
    <t>77,40</t>
  </si>
  <si>
    <t xml:space="preserve">Воскресенск/Московская область </t>
  </si>
  <si>
    <t xml:space="preserve">Хламков А. </t>
  </si>
  <si>
    <t>Давтян Давид</t>
  </si>
  <si>
    <t>Открытая (12.09.1986)/35</t>
  </si>
  <si>
    <t>88,20</t>
  </si>
  <si>
    <t xml:space="preserve">Липецк/Липецкая область </t>
  </si>
  <si>
    <t xml:space="preserve">Смирнов Д. </t>
  </si>
  <si>
    <t>Анцупов Сергей</t>
  </si>
  <si>
    <t>88,60</t>
  </si>
  <si>
    <t>Черногуб Роман</t>
  </si>
  <si>
    <t>87,30</t>
  </si>
  <si>
    <t>252,7950</t>
  </si>
  <si>
    <t>325,6860</t>
  </si>
  <si>
    <t>325,0740</t>
  </si>
  <si>
    <t>4</t>
  </si>
  <si>
    <t>Боровков Владимир</t>
  </si>
  <si>
    <t>Открытая (13.11.1992)/29</t>
  </si>
  <si>
    <t>71,40</t>
  </si>
  <si>
    <t xml:space="preserve">Кстово/Нижегородская область </t>
  </si>
  <si>
    <t>Башилов Валерий</t>
  </si>
  <si>
    <t>Открытая (26.12.1986)/35</t>
  </si>
  <si>
    <t>80,60</t>
  </si>
  <si>
    <t xml:space="preserve">Узловая/Тульская область </t>
  </si>
  <si>
    <t>Жим стоя</t>
  </si>
  <si>
    <t>Карев Владимир</t>
  </si>
  <si>
    <t>Мастера 60+ (18.12.1948)/73</t>
  </si>
  <si>
    <t xml:space="preserve">Мичуринск/Тамбовская область </t>
  </si>
  <si>
    <t>Смирнов Леонид</t>
  </si>
  <si>
    <t>Мастера 60+ (26.09.1957)/64</t>
  </si>
  <si>
    <t>94,90</t>
  </si>
  <si>
    <t>Надин Вадим</t>
  </si>
  <si>
    <t>Открытая (01.12.1996)/25</t>
  </si>
  <si>
    <t>73,70</t>
  </si>
  <si>
    <t>98,0</t>
  </si>
  <si>
    <t>Фомин Павел</t>
  </si>
  <si>
    <t>Открытая (16.05.1979)/42</t>
  </si>
  <si>
    <t>100,40</t>
  </si>
  <si>
    <t>Пенько Константин</t>
  </si>
  <si>
    <t>81,00</t>
  </si>
  <si>
    <t xml:space="preserve">Зеленоград/Московская область </t>
  </si>
  <si>
    <t>Финохин Алексей</t>
  </si>
  <si>
    <t>94,50</t>
  </si>
  <si>
    <t>Лукина Ксения</t>
  </si>
  <si>
    <t>30,30</t>
  </si>
  <si>
    <t>22,5</t>
  </si>
  <si>
    <t xml:space="preserve">Лукин М </t>
  </si>
  <si>
    <t>Мавряшина Виктория</t>
  </si>
  <si>
    <t>Открытая (05.02.1984)/38</t>
  </si>
  <si>
    <t>55,60</t>
  </si>
  <si>
    <t>Колесников Василий</t>
  </si>
  <si>
    <t>Открытая (17.02.1994)/28</t>
  </si>
  <si>
    <t>67,10</t>
  </si>
  <si>
    <t xml:space="preserve">Брянск/Брянская область </t>
  </si>
  <si>
    <t>Тертыш Андрей</t>
  </si>
  <si>
    <t>66,80</t>
  </si>
  <si>
    <t>Шкалев Сергей</t>
  </si>
  <si>
    <t>65,70</t>
  </si>
  <si>
    <t xml:space="preserve">Рязань/Рязанская область </t>
  </si>
  <si>
    <t>Кондратьев Игорь</t>
  </si>
  <si>
    <t>Открытая (18.07.1991)/30</t>
  </si>
  <si>
    <t>73,80</t>
  </si>
  <si>
    <t>Секира Григорий</t>
  </si>
  <si>
    <t>Открытая (28.12.1989)/32</t>
  </si>
  <si>
    <t>81,60</t>
  </si>
  <si>
    <t xml:space="preserve">Дедовск/Московская область </t>
  </si>
  <si>
    <t>Екимов Александр</t>
  </si>
  <si>
    <t>Открытая (22.12.1992)/29</t>
  </si>
  <si>
    <t>89,30</t>
  </si>
  <si>
    <t>Пшеничников Кирилл</t>
  </si>
  <si>
    <t>Открытая (23.08.1996)/25</t>
  </si>
  <si>
    <t>63,10</t>
  </si>
  <si>
    <t xml:space="preserve">Юрков М. </t>
  </si>
  <si>
    <t>Карданов Игорь</t>
  </si>
  <si>
    <t>Юрков Максим</t>
  </si>
  <si>
    <t>Открытая (21.12.1988)/33</t>
  </si>
  <si>
    <t>82,00</t>
  </si>
  <si>
    <t>Шевченко Юрий</t>
  </si>
  <si>
    <t>Открытая (18.04.1985)/36</t>
  </si>
  <si>
    <t>95,30</t>
  </si>
  <si>
    <t>Баранов Александр</t>
  </si>
  <si>
    <t>Открытая (15.01.1986)/36</t>
  </si>
  <si>
    <t>115,20</t>
  </si>
  <si>
    <t>66,50</t>
  </si>
  <si>
    <t>ВЕСОВАЯ КАТЕГОРИЯ   80</t>
  </si>
  <si>
    <t>Бородин Анатолий</t>
  </si>
  <si>
    <t>71,60</t>
  </si>
  <si>
    <t xml:space="preserve">Фурманов/Ивановская область </t>
  </si>
  <si>
    <t>Смирнов Иван</t>
  </si>
  <si>
    <t>Открытая (07.07.1984)/37</t>
  </si>
  <si>
    <t>91,50</t>
  </si>
  <si>
    <t xml:space="preserve">Грязовец/Вологодская область </t>
  </si>
  <si>
    <t>Юсупов Анвар</t>
  </si>
  <si>
    <t>Открытая (06.03.1983)/39</t>
  </si>
  <si>
    <t>101,60</t>
  </si>
  <si>
    <t>Остапенко Кирилл</t>
  </si>
  <si>
    <t>100,30</t>
  </si>
  <si>
    <t xml:space="preserve">пгт Мга/Ленинградская область </t>
  </si>
  <si>
    <t>Шафигуллин Кирилл</t>
  </si>
  <si>
    <t>Юноши 14-17 (20.12.2005)/16</t>
  </si>
  <si>
    <t>73,90</t>
  </si>
  <si>
    <t xml:space="preserve">Талдом/Московская область </t>
  </si>
  <si>
    <t xml:space="preserve">Самитов А., Черствов А. </t>
  </si>
  <si>
    <t>ВЕСОВАЯ КАТЕГОРИЯ   120</t>
  </si>
  <si>
    <t>ВЕСОВАЯ КАТЕГОРИЯ   70</t>
  </si>
  <si>
    <t>Блохнин Андрей</t>
  </si>
  <si>
    <t>Открытая (14.12.1989)/32</t>
  </si>
  <si>
    <t>69,70</t>
  </si>
  <si>
    <t>Самитов Александр</t>
  </si>
  <si>
    <t>Открытая (30.04.1975)/46</t>
  </si>
  <si>
    <t>116,00</t>
  </si>
  <si>
    <t>Акулич Александр</t>
  </si>
  <si>
    <t>Открытая (17.11.1981)/40</t>
  </si>
  <si>
    <t xml:space="preserve">Сергиев Посад/Московская область </t>
  </si>
  <si>
    <t>Черствов Алексей</t>
  </si>
  <si>
    <t>117,10</t>
  </si>
  <si>
    <t>Калинина Кристина</t>
  </si>
  <si>
    <t>51,20</t>
  </si>
  <si>
    <t>Дорошина Елена</t>
  </si>
  <si>
    <t>59,00</t>
  </si>
  <si>
    <t xml:space="preserve">Новомосковск/Тульская область </t>
  </si>
  <si>
    <t>Вахрамеев Владислав</t>
  </si>
  <si>
    <t>Открытая (01.05.1989)/32</t>
  </si>
  <si>
    <t>Матвеев Александр</t>
  </si>
  <si>
    <t>77,80</t>
  </si>
  <si>
    <t xml:space="preserve">Жинкин В. </t>
  </si>
  <si>
    <t>Винтовкин Иван</t>
  </si>
  <si>
    <t>Открытая (30.05.1992)/29</t>
  </si>
  <si>
    <t>97,90</t>
  </si>
  <si>
    <t>202,5</t>
  </si>
  <si>
    <t xml:space="preserve">Постнов Д. </t>
  </si>
  <si>
    <t>Сухарев Андрей</t>
  </si>
  <si>
    <t>Открытая (22.07.1974)/47</t>
  </si>
  <si>
    <t>108,30</t>
  </si>
  <si>
    <t>325,0</t>
  </si>
  <si>
    <t>375,0</t>
  </si>
  <si>
    <t>Тяга</t>
  </si>
  <si>
    <t>Шишикин Владимир</t>
  </si>
  <si>
    <t>50,00</t>
  </si>
  <si>
    <t xml:space="preserve">Электросталь/Московская область </t>
  </si>
  <si>
    <t xml:space="preserve">Тропин Г. </t>
  </si>
  <si>
    <t>Петрокович Николай</t>
  </si>
  <si>
    <t>Открытая (17.08.1979)/42</t>
  </si>
  <si>
    <t>86,90</t>
  </si>
  <si>
    <t>Мастера 40-49 (17.08.1979)/42</t>
  </si>
  <si>
    <t>Постнов Д.</t>
  </si>
  <si>
    <t>Мастера 40-44 (05.03.1982)/40</t>
  </si>
  <si>
    <t>Девушки 18-19 (23.03.2002)/19</t>
  </si>
  <si>
    <t>Мастера 45-49 (06.10.1973)/48</t>
  </si>
  <si>
    <t>Юноши 16-17 (16.08.2004)/17</t>
  </si>
  <si>
    <t>Юниоры 20-23 (31.07.1998)/23</t>
  </si>
  <si>
    <t>Юниорки 20-23 (26.06.2000)/21</t>
  </si>
  <si>
    <t>Девушки 18-19 (12.07.2002)/19</t>
  </si>
  <si>
    <t>Девушки 18-19 (12.03.2003)/19</t>
  </si>
  <si>
    <t>Юниорки 20-23 (13.01.2002)/20</t>
  </si>
  <si>
    <t>Юноши 18-19 (16.05.2003)/18</t>
  </si>
  <si>
    <t>Юниорки 20-23 (10.05.2000)/21</t>
  </si>
  <si>
    <t>Мастера 40-44 (14.10.1980)/41</t>
  </si>
  <si>
    <t>Юноши 18-19 (29.03.2002)/19</t>
  </si>
  <si>
    <t>Юноши 18-19 (15.09.2002)/19</t>
  </si>
  <si>
    <t>Юноши 18-19 (10.12.2002)/19</t>
  </si>
  <si>
    <t>Юноши 13-15 (02.11.2011)/10</t>
  </si>
  <si>
    <t>Мастера 40-44 (02.03.1978)/44</t>
  </si>
  <si>
    <t>Юноши 18-19 (17.04.2003)/18</t>
  </si>
  <si>
    <t>Юниорки 20-23 (20.11.1998)/23</t>
  </si>
  <si>
    <t>Мастера 40-49 (01.06.1975)/46</t>
  </si>
  <si>
    <t>Мастера 40-49 (14.03.1974)/47</t>
  </si>
  <si>
    <t>Мастера 40-49 (16.04.1981)/40</t>
  </si>
  <si>
    <t>Мастера 40-49 (22.07.1974)/47</t>
  </si>
  <si>
    <t>Юниоры 20-23 (24.03.1999)/22</t>
  </si>
  <si>
    <t>Юноши 18-19 (11.04.2003)/18</t>
  </si>
  <si>
    <t>Юноши 13-15 (12.01.2010)/12</t>
  </si>
  <si>
    <t>Юноши 13-19 (15.09.2002)/19</t>
  </si>
  <si>
    <t>Мастера 40-49 (18.02.1980)/42</t>
  </si>
  <si>
    <t>Мастера 50-59 (25.08.1966)/55</t>
  </si>
  <si>
    <t>Девушки 13-19 (28.04.2012)/9</t>
  </si>
  <si>
    <t>Мастера 40-49 (25.09.1976)/45</t>
  </si>
  <si>
    <t>Мастера 50-59 (10.05.1962)/59</t>
  </si>
  <si>
    <t>Мастера 40-49 (20.02.1977)/45</t>
  </si>
  <si>
    <t>Мастера 60-64 (25.06.1959)/62</t>
  </si>
  <si>
    <t>Мастера 40-44 (19.10.1977)/44</t>
  </si>
  <si>
    <t>Весовая категория</t>
  </si>
  <si>
    <t xml:space="preserve">Рощупкин А. </t>
  </si>
  <si>
    <t xml:space="preserve">Самохвалов Д. </t>
  </si>
  <si>
    <t xml:space="preserve">Раскачнов В. </t>
  </si>
  <si>
    <t xml:space="preserve">Назаров Е. </t>
  </si>
  <si>
    <t xml:space="preserve">Нечаев Е. </t>
  </si>
  <si>
    <t xml:space="preserve">Холодный С. </t>
  </si>
  <si>
    <t xml:space="preserve">Рябинников О. </t>
  </si>
  <si>
    <t xml:space="preserve">Андреев Т. </t>
  </si>
  <si>
    <t xml:space="preserve">Глазов/Республика Удмуртия </t>
  </si>
  <si>
    <t xml:space="preserve">Козырев О. </t>
  </si>
  <si>
    <t xml:space="preserve">Уфа/Республика Башкортостан </t>
  </si>
  <si>
    <t xml:space="preserve">Рузаевка/Республика Мордовия </t>
  </si>
  <si>
    <t xml:space="preserve">Юдин С. </t>
  </si>
  <si>
    <t xml:space="preserve">Пауесов А. </t>
  </si>
  <si>
    <t xml:space="preserve">Корнилов А. </t>
  </si>
  <si>
    <t xml:space="preserve">Федоренко А. </t>
  </si>
  <si>
    <t xml:space="preserve">Павлов А. </t>
  </si>
  <si>
    <t xml:space="preserve">Сухарев А. </t>
  </si>
  <si>
    <t xml:space="preserve">Бастрыкин А. </t>
  </si>
  <si>
    <t xml:space="preserve">Бугульма/Республика Татарстан </t>
  </si>
  <si>
    <t>Душанбе/Таджикистан</t>
  </si>
  <si>
    <t xml:space="preserve">Дурнов Р. </t>
  </si>
  <si>
    <t xml:space="preserve">Зиннатов Р. </t>
  </si>
  <si>
    <t xml:space="preserve">Саранск/Республика Мордовия </t>
  </si>
  <si>
    <t xml:space="preserve">Зайцев Д. </t>
  </si>
  <si>
    <t xml:space="preserve">Копаев В. </t>
  </si>
  <si>
    <t>Национальный Чемпионат
GPA Пауэрлифтинг без экипировки ДК
Долгопрудный/Московская область, 12 марта 2022 года</t>
  </si>
  <si>
    <t>Национальный Чемпионат
GPA Пауэрлифтинг без экипировки
Долгопрудный/Московская область, 12 марта 2022 года</t>
  </si>
  <si>
    <t>Национальный Чемпионат
GPA Пауэрлифтинг в бинтах ДК
Долгопрудный/Московская область, 12 марта 2022 года</t>
  </si>
  <si>
    <t>Национальный Чемпионат
GPA Пауэрлифтинг в бинтах
Долгопрудный/Московская область, 12 марта 2022 года</t>
  </si>
  <si>
    <t>Национальный Чемпионат
IPO Пауэрлифтинг в однослойной экипировке ДК
Долгопрудный/Московская область, 12 марта 2022 года</t>
  </si>
  <si>
    <t>Национальный Чемпионат
GPA Силовое двоеборье без экипировки ДК
Долгопрудный/Московская область, 12 марта 2022 года</t>
  </si>
  <si>
    <t>Национальный Чемпионат
GPA Силовое двоеборье без экипировки
Долгопрудный/Московская область, 12 марта 2022 года</t>
  </si>
  <si>
    <t>Национальный Чемпионат
GPA Присед без экипировки ДК
Долгопрудный/Московская область, 12 марта 2022 года</t>
  </si>
  <si>
    <t>Национальный Чемпионат
GPA Присед в бинтах ДК
Долгопрудный/Московская область, 12 марта 2022 года</t>
  </si>
  <si>
    <t>Национальный Чемпионат
GPA Присед в бинтах
Долгопрудный/Московская область, 12 марта 2022 года</t>
  </si>
  <si>
    <t>Национальный Чемпионат
GPA Жим лежа без экипировки ДК
Долгопрудный/Московская область, 12 марта 2022 года</t>
  </si>
  <si>
    <t>Национальный Чемпионат
GPA Жим лежа без экипировки
Долгопрудный/Московская область, 12 марта 2022 года</t>
  </si>
  <si>
    <t>Национальный Чемпионат
IPO Жим лежа в однослойной экипировке ДК
Долгопрудный/Московская область, 12 марта 2022 года</t>
  </si>
  <si>
    <t>Национальный Чемпионат
СПР Жим лежа в однопетельной софт экипировке ДК
Долгопрудный/Московская область, 12 марта 2022 года</t>
  </si>
  <si>
    <t>Национальный Чемпионат
СПР Жим лежа в однопетельной софт экипировке
Долгопрудный/Московская область, 12 марта 2022 года</t>
  </si>
  <si>
    <t>Национальный Чемпионат
СПР Жим лежа в многопетельной софт экипировке ДК
Долгопрудный/Московская область, 12 марта 2022 года</t>
  </si>
  <si>
    <t>Национальный Чемпионат
СПР Жим лежа среди спортсменов с физическими особенностями
Долгопрудный/Московская область, 12 марта 2022 года</t>
  </si>
  <si>
    <t>Национальный Чемпионат
IPO Становая тяга в экипировке
Долгопрудный/Московская область, 12 марта 2022 года</t>
  </si>
  <si>
    <t>Национальный Чемпионат
GPA Становая тяга без экипировки ДК
Долгопрудный/Московская область, 12 марта 2022 года</t>
  </si>
  <si>
    <t>Национальный Чемпионат
GPA Становая тяга без экипировки
Долгопрудный/Московская область, 12 марта 2022 года</t>
  </si>
  <si>
    <t>Многоповторный жим</t>
  </si>
  <si>
    <t>Мастера 40-44 (10.12.1980)/41</t>
  </si>
  <si>
    <t>Мастера 40-44 (16.10.1979)/42</t>
  </si>
  <si>
    <t>Мастера 50-54 (18.10.1971)/50</t>
  </si>
  <si>
    <t>Мастера 40-44 (11.04.1977)/44</t>
  </si>
  <si>
    <t>Мастера 45-49 (12.06.1975)/46</t>
  </si>
  <si>
    <t>Мастера 70-74 (13.01.1951)/71</t>
  </si>
  <si>
    <t>Мастера 40-44 (16.11.1980)/41</t>
  </si>
  <si>
    <t>Мастера 45-49 (06.01.1976)/46</t>
  </si>
  <si>
    <t>Мастера 45-49 (15.02.1975)/47</t>
  </si>
  <si>
    <t>Мастера 45-49 (23.04.1972)/49</t>
  </si>
  <si>
    <t>Мастера 55-59 (03.04.1964)/57</t>
  </si>
  <si>
    <t>Мастера 45-49 (08.03.1975)/47</t>
  </si>
  <si>
    <t>Мастера 55-59 (18.10.1971)/50</t>
  </si>
  <si>
    <t>Мастера 60-64 (20.06.1957)/64</t>
  </si>
  <si>
    <t>Мастера 45-49 (30.05.1974)/47</t>
  </si>
  <si>
    <t>Мастера 55-59 (13.06.1965)/56</t>
  </si>
  <si>
    <t>Всероссийский турнир
СПР Пауэрспорт ДК
Долгопрудный/Московская область, 12 марта 2022 года</t>
  </si>
  <si>
    <t>Всероссийский турнир
СПР Жим штанги стоя ДК
Долгопрудный/Московская область, 12 марта 2022 года</t>
  </si>
  <si>
    <t>Всероссийский турнир
СПР Жим штанги стоя
Долгопрудный/Московская область, 12 марта 2022 года</t>
  </si>
  <si>
    <t>Всероссийский турнир
СПР Строгий подъем штанги на бицепс ДК
Долгопрудный/Московская область, 12 марта 2022 года</t>
  </si>
  <si>
    <t>Всероссийский турнир
СПР Строгий подъем штанги на бицепс
Долгопрудный/Московская область, 12 марта 2022 года</t>
  </si>
  <si>
    <t>Всероссийский турнир
ФЖД Любители двоеборье
Долгопрудный/Московская область, 12 марта 2022 года</t>
  </si>
  <si>
    <t>Всероссийский турнир
ФЖД Любители жим на максимум ДК
Долгопрудный/Московская область, 12 марта 2022 года</t>
  </si>
  <si>
    <t>Всероссийский турнир
ФЖД Любители жим на максимум
Долгопрудный/Московская область, 12 марта 2022 года</t>
  </si>
  <si>
    <t>Всероссийский турнир
ФЖД Софт экипировка однопетельная жим на максимум
Долгопрудный/Московская область, 12 марта 2022 года</t>
  </si>
  <si>
    <t>Всероссийский турнир
ФЖД Армейский жим на максимум
Долгопрудный/Московская область, 12 марта 2022 года</t>
  </si>
  <si>
    <t>№</t>
  </si>
  <si>
    <t xml:space="preserve"> </t>
  </si>
  <si>
    <t xml:space="preserve">  </t>
  </si>
  <si>
    <t>Жим</t>
  </si>
  <si>
    <t xml:space="preserve">
Дата рождения/Возраст</t>
  </si>
  <si>
    <t>Возрастная группа</t>
  </si>
  <si>
    <t>O</t>
  </si>
  <si>
    <t>M1</t>
  </si>
  <si>
    <t>M3</t>
  </si>
  <si>
    <t>T3</t>
  </si>
  <si>
    <t>M2</t>
  </si>
  <si>
    <t>T2</t>
  </si>
  <si>
    <t>J</t>
  </si>
  <si>
    <t>M7</t>
  </si>
  <si>
    <t>M4</t>
  </si>
  <si>
    <t>T1</t>
  </si>
  <si>
    <t>M5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</si>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</sst>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1" fillId="2" borderId="24" xfId="0" applyNumberFormat="1" applyFont="1" applyFill="1" applyBorder="1" applyAlignment="1">
      <alignment horizontal="center" vertical="center"/>
    </xf>
    <xf numFmtId="49" fontId="7" fillId="0" borderId="25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5" fontId="1" fillId="0" borderId="19" xfId="0" applyNumberFormat="1" applyFont="1" applyFill="1" applyBorder="1" applyAlignment="1">
      <alignment horizontal="center" vertical="center"/>
    </xf>
    <xf numFmtId="165" fontId="1" fillId="0" borderId="21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Лист5">
    <pageSetUpPr fitToPage="1"/>
  </sheetPr>
  <dimension ref="A1:U67"/>
  <sheetViews>
    <sheetView topLeftCell="A16" workbookViewId="0">
      <selection activeCell="E50" sqref="E50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9" style="5" bestFit="1" customWidth="1"/>
    <col min="7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29.1640625" style="5" bestFit="1" customWidth="1"/>
    <col min="22" max="16384" width="9.1640625" style="3"/>
  </cols>
  <sheetData>
    <row r="1" spans="1:21" s="2" customFormat="1" ht="29" customHeight="1">
      <c r="A1" s="87" t="s">
        <v>604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90"/>
    </row>
    <row r="2" spans="1:21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4"/>
    </row>
    <row r="3" spans="1:21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9</v>
      </c>
      <c r="H3" s="83"/>
      <c r="I3" s="83"/>
      <c r="J3" s="83"/>
      <c r="K3" s="83" t="s">
        <v>10</v>
      </c>
      <c r="L3" s="83"/>
      <c r="M3" s="83"/>
      <c r="N3" s="83"/>
      <c r="O3" s="83" t="s">
        <v>11</v>
      </c>
      <c r="P3" s="83"/>
      <c r="Q3" s="83"/>
      <c r="R3" s="83"/>
      <c r="S3" s="85" t="s">
        <v>1</v>
      </c>
      <c r="T3" s="83" t="s">
        <v>3</v>
      </c>
      <c r="U3" s="98" t="s">
        <v>2</v>
      </c>
    </row>
    <row r="4" spans="1:21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86"/>
      <c r="T4" s="84"/>
      <c r="U4" s="99"/>
    </row>
    <row r="5" spans="1:21" ht="16">
      <c r="A5" s="81" t="s">
        <v>12</v>
      </c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21">
      <c r="A6" s="8" t="s">
        <v>202</v>
      </c>
      <c r="B6" s="7" t="s">
        <v>13</v>
      </c>
      <c r="C6" s="7" t="s">
        <v>14</v>
      </c>
      <c r="D6" s="7" t="s">
        <v>15</v>
      </c>
      <c r="E6" s="7" t="s">
        <v>657</v>
      </c>
      <c r="F6" s="7" t="s">
        <v>16</v>
      </c>
      <c r="G6" s="20" t="s">
        <v>17</v>
      </c>
      <c r="H6" s="20" t="s">
        <v>17</v>
      </c>
      <c r="I6" s="21" t="s">
        <v>17</v>
      </c>
      <c r="J6" s="8"/>
      <c r="K6" s="21" t="s">
        <v>18</v>
      </c>
      <c r="L6" s="21" t="s">
        <v>19</v>
      </c>
      <c r="M6" s="20" t="s">
        <v>20</v>
      </c>
      <c r="N6" s="8"/>
      <c r="O6" s="21" t="s">
        <v>21</v>
      </c>
      <c r="P6" s="21" t="s">
        <v>22</v>
      </c>
      <c r="Q6" s="20" t="s">
        <v>23</v>
      </c>
      <c r="R6" s="8"/>
      <c r="S6" s="29" t="str">
        <f>"235,0"</f>
        <v>235,0</v>
      </c>
      <c r="T6" s="8" t="str">
        <f>"456,3700"</f>
        <v>456,3700</v>
      </c>
      <c r="U6" s="7" t="s">
        <v>578</v>
      </c>
    </row>
    <row r="7" spans="1:21">
      <c r="A7" s="10" t="s">
        <v>203</v>
      </c>
      <c r="B7" s="9" t="s">
        <v>24</v>
      </c>
      <c r="C7" s="9" t="s">
        <v>25</v>
      </c>
      <c r="D7" s="9" t="s">
        <v>15</v>
      </c>
      <c r="E7" s="9" t="s">
        <v>657</v>
      </c>
      <c r="F7" s="9" t="s">
        <v>26</v>
      </c>
      <c r="G7" s="22" t="s">
        <v>27</v>
      </c>
      <c r="H7" s="22" t="s">
        <v>28</v>
      </c>
      <c r="I7" s="22" t="s">
        <v>29</v>
      </c>
      <c r="J7" s="10"/>
      <c r="K7" s="22" t="s">
        <v>30</v>
      </c>
      <c r="L7" s="23" t="s">
        <v>31</v>
      </c>
      <c r="M7" s="23" t="s">
        <v>32</v>
      </c>
      <c r="N7" s="10"/>
      <c r="O7" s="22" t="s">
        <v>33</v>
      </c>
      <c r="P7" s="22" t="s">
        <v>34</v>
      </c>
      <c r="Q7" s="23" t="s">
        <v>35</v>
      </c>
      <c r="R7" s="10"/>
      <c r="S7" s="30" t="str">
        <f>"175,0"</f>
        <v>175,0</v>
      </c>
      <c r="T7" s="10" t="str">
        <f>"339,8500"</f>
        <v>339,8500</v>
      </c>
      <c r="U7" s="9" t="s">
        <v>36</v>
      </c>
    </row>
    <row r="8" spans="1:21">
      <c r="A8" s="10" t="s">
        <v>202</v>
      </c>
      <c r="B8" s="9" t="s">
        <v>37</v>
      </c>
      <c r="C8" s="9" t="s">
        <v>625</v>
      </c>
      <c r="D8" s="9" t="s">
        <v>38</v>
      </c>
      <c r="E8" s="9" t="s">
        <v>658</v>
      </c>
      <c r="F8" s="9" t="s">
        <v>39</v>
      </c>
      <c r="G8" s="23" t="s">
        <v>40</v>
      </c>
      <c r="H8" s="22" t="s">
        <v>17</v>
      </c>
      <c r="I8" s="23" t="s">
        <v>41</v>
      </c>
      <c r="J8" s="10"/>
      <c r="K8" s="22" t="s">
        <v>42</v>
      </c>
      <c r="L8" s="23" t="s">
        <v>28</v>
      </c>
      <c r="M8" s="23" t="s">
        <v>28</v>
      </c>
      <c r="N8" s="10"/>
      <c r="O8" s="22" t="s">
        <v>43</v>
      </c>
      <c r="P8" s="22" t="s">
        <v>44</v>
      </c>
      <c r="Q8" s="22" t="s">
        <v>22</v>
      </c>
      <c r="R8" s="10"/>
      <c r="S8" s="30" t="str">
        <f>"247,5"</f>
        <v>247,5</v>
      </c>
      <c r="T8" s="10" t="str">
        <f>"479,2177"</f>
        <v>479,2177</v>
      </c>
      <c r="U8" s="9" t="s">
        <v>45</v>
      </c>
    </row>
    <row r="9" spans="1:21">
      <c r="A9" s="10" t="s">
        <v>203</v>
      </c>
      <c r="B9" s="9" t="s">
        <v>46</v>
      </c>
      <c r="C9" s="9" t="s">
        <v>626</v>
      </c>
      <c r="D9" s="9" t="s">
        <v>47</v>
      </c>
      <c r="E9" s="9" t="s">
        <v>658</v>
      </c>
      <c r="F9" s="9" t="s">
        <v>77</v>
      </c>
      <c r="G9" s="22" t="s">
        <v>19</v>
      </c>
      <c r="H9" s="22" t="s">
        <v>27</v>
      </c>
      <c r="I9" s="22" t="s">
        <v>42</v>
      </c>
      <c r="J9" s="10"/>
      <c r="K9" s="22" t="s">
        <v>48</v>
      </c>
      <c r="L9" s="22" t="s">
        <v>32</v>
      </c>
      <c r="M9" s="23" t="s">
        <v>49</v>
      </c>
      <c r="N9" s="10"/>
      <c r="O9" s="22" t="s">
        <v>50</v>
      </c>
      <c r="P9" s="22" t="s">
        <v>33</v>
      </c>
      <c r="Q9" s="22" t="s">
        <v>34</v>
      </c>
      <c r="R9" s="10"/>
      <c r="S9" s="30" t="str">
        <f>"175,0"</f>
        <v>175,0</v>
      </c>
      <c r="T9" s="10" t="str">
        <f>"347,6245"</f>
        <v>347,6245</v>
      </c>
      <c r="U9" s="9" t="s">
        <v>51</v>
      </c>
    </row>
    <row r="10" spans="1:21">
      <c r="A10" s="12" t="s">
        <v>202</v>
      </c>
      <c r="B10" s="11" t="s">
        <v>52</v>
      </c>
      <c r="C10" s="11" t="s">
        <v>627</v>
      </c>
      <c r="D10" s="11" t="s">
        <v>53</v>
      </c>
      <c r="E10" s="11" t="s">
        <v>659</v>
      </c>
      <c r="F10" s="11" t="s">
        <v>77</v>
      </c>
      <c r="G10" s="24" t="s">
        <v>50</v>
      </c>
      <c r="H10" s="24" t="s">
        <v>29</v>
      </c>
      <c r="I10" s="24" t="s">
        <v>17</v>
      </c>
      <c r="J10" s="12"/>
      <c r="K10" s="24" t="s">
        <v>32</v>
      </c>
      <c r="L10" s="24" t="s">
        <v>49</v>
      </c>
      <c r="M10" s="24" t="s">
        <v>18</v>
      </c>
      <c r="N10" s="12"/>
      <c r="O10" s="24" t="s">
        <v>54</v>
      </c>
      <c r="P10" s="24" t="s">
        <v>23</v>
      </c>
      <c r="Q10" s="24" t="s">
        <v>55</v>
      </c>
      <c r="R10" s="12"/>
      <c r="S10" s="31" t="str">
        <f>"242,5"</f>
        <v>242,5</v>
      </c>
      <c r="T10" s="12" t="str">
        <f>"540,4597"</f>
        <v>540,4597</v>
      </c>
      <c r="U10" s="11" t="s">
        <v>579</v>
      </c>
    </row>
    <row r="11" spans="1:21">
      <c r="B11" s="5" t="s">
        <v>204</v>
      </c>
    </row>
    <row r="12" spans="1:21" ht="16">
      <c r="A12" s="80" t="s">
        <v>56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spans="1:21">
      <c r="A13" s="8" t="s">
        <v>202</v>
      </c>
      <c r="B13" s="7" t="s">
        <v>57</v>
      </c>
      <c r="C13" s="7" t="s">
        <v>58</v>
      </c>
      <c r="D13" s="7" t="s">
        <v>59</v>
      </c>
      <c r="E13" s="7" t="s">
        <v>657</v>
      </c>
      <c r="F13" s="7" t="s">
        <v>77</v>
      </c>
      <c r="G13" s="21" t="s">
        <v>23</v>
      </c>
      <c r="H13" s="20" t="s">
        <v>55</v>
      </c>
      <c r="I13" s="21" t="s">
        <v>55</v>
      </c>
      <c r="J13" s="8"/>
      <c r="K13" s="21" t="s">
        <v>42</v>
      </c>
      <c r="L13" s="20" t="s">
        <v>28</v>
      </c>
      <c r="M13" s="21" t="s">
        <v>28</v>
      </c>
      <c r="N13" s="8"/>
      <c r="O13" s="21" t="s">
        <v>60</v>
      </c>
      <c r="P13" s="21" t="s">
        <v>61</v>
      </c>
      <c r="Q13" s="21" t="s">
        <v>62</v>
      </c>
      <c r="R13" s="8"/>
      <c r="S13" s="29" t="str">
        <f>"310,0"</f>
        <v>310,0</v>
      </c>
      <c r="T13" s="8" t="str">
        <f>"566,7420"</f>
        <v>566,7420</v>
      </c>
      <c r="U13" s="7" t="s">
        <v>652</v>
      </c>
    </row>
    <row r="14" spans="1:21">
      <c r="A14" s="10" t="s">
        <v>203</v>
      </c>
      <c r="B14" s="9" t="s">
        <v>63</v>
      </c>
      <c r="C14" s="9" t="s">
        <v>64</v>
      </c>
      <c r="D14" s="9" t="s">
        <v>65</v>
      </c>
      <c r="E14" s="9" t="s">
        <v>657</v>
      </c>
      <c r="F14" s="9" t="s">
        <v>66</v>
      </c>
      <c r="G14" s="22" t="s">
        <v>43</v>
      </c>
      <c r="H14" s="23" t="s">
        <v>44</v>
      </c>
      <c r="I14" s="23" t="s">
        <v>44</v>
      </c>
      <c r="J14" s="10"/>
      <c r="K14" s="22" t="s">
        <v>50</v>
      </c>
      <c r="L14" s="22" t="s">
        <v>28</v>
      </c>
      <c r="M14" s="23" t="s">
        <v>33</v>
      </c>
      <c r="N14" s="10"/>
      <c r="O14" s="22" t="s">
        <v>21</v>
      </c>
      <c r="P14" s="22" t="s">
        <v>67</v>
      </c>
      <c r="Q14" s="22" t="s">
        <v>68</v>
      </c>
      <c r="R14" s="10"/>
      <c r="S14" s="30" t="str">
        <f>"282,5"</f>
        <v>282,5</v>
      </c>
      <c r="T14" s="10" t="str">
        <f>"507,8785"</f>
        <v>507,8785</v>
      </c>
      <c r="U14" s="9" t="s">
        <v>51</v>
      </c>
    </row>
    <row r="15" spans="1:21">
      <c r="A15" s="10" t="s">
        <v>205</v>
      </c>
      <c r="B15" s="9" t="s">
        <v>69</v>
      </c>
      <c r="C15" s="9" t="s">
        <v>70</v>
      </c>
      <c r="D15" s="9" t="s">
        <v>71</v>
      </c>
      <c r="E15" s="9" t="s">
        <v>657</v>
      </c>
      <c r="F15" s="9" t="s">
        <v>72</v>
      </c>
      <c r="G15" s="22" t="s">
        <v>28</v>
      </c>
      <c r="H15" s="22" t="s">
        <v>34</v>
      </c>
      <c r="I15" s="22" t="s">
        <v>17</v>
      </c>
      <c r="J15" s="10"/>
      <c r="K15" s="22" t="s">
        <v>20</v>
      </c>
      <c r="L15" s="22" t="s">
        <v>27</v>
      </c>
      <c r="M15" s="23" t="s">
        <v>50</v>
      </c>
      <c r="N15" s="10"/>
      <c r="O15" s="22" t="s">
        <v>73</v>
      </c>
      <c r="P15" s="22" t="s">
        <v>74</v>
      </c>
      <c r="Q15" s="22" t="s">
        <v>21</v>
      </c>
      <c r="R15" s="10"/>
      <c r="S15" s="30" t="str">
        <f>"237,5"</f>
        <v>237,5</v>
      </c>
      <c r="T15" s="10" t="str">
        <f>"431,9175"</f>
        <v>431,9175</v>
      </c>
      <c r="U15" s="9" t="s">
        <v>652</v>
      </c>
    </row>
    <row r="16" spans="1:21">
      <c r="A16" s="12" t="s">
        <v>202</v>
      </c>
      <c r="B16" s="11" t="s">
        <v>75</v>
      </c>
      <c r="C16" s="11" t="s">
        <v>542</v>
      </c>
      <c r="D16" s="11" t="s">
        <v>76</v>
      </c>
      <c r="E16" s="11" t="s">
        <v>658</v>
      </c>
      <c r="F16" s="11" t="s">
        <v>77</v>
      </c>
      <c r="G16" s="24" t="s">
        <v>73</v>
      </c>
      <c r="H16" s="25" t="s">
        <v>54</v>
      </c>
      <c r="I16" s="25" t="s">
        <v>54</v>
      </c>
      <c r="J16" s="12"/>
      <c r="K16" s="24" t="s">
        <v>78</v>
      </c>
      <c r="L16" s="25" t="s">
        <v>19</v>
      </c>
      <c r="M16" s="25" t="s">
        <v>19</v>
      </c>
      <c r="N16" s="12"/>
      <c r="O16" s="24" t="s">
        <v>67</v>
      </c>
      <c r="P16" s="24" t="s">
        <v>55</v>
      </c>
      <c r="Q16" s="25" t="s">
        <v>61</v>
      </c>
      <c r="R16" s="12"/>
      <c r="S16" s="31" t="str">
        <f>"250,0"</f>
        <v>250,0</v>
      </c>
      <c r="T16" s="12" t="str">
        <f>"447,5500"</f>
        <v>447,5500</v>
      </c>
      <c r="U16" s="11" t="s">
        <v>652</v>
      </c>
    </row>
    <row r="17" spans="1:21">
      <c r="B17" s="5" t="s">
        <v>204</v>
      </c>
    </row>
    <row r="18" spans="1:21" ht="16">
      <c r="A18" s="80" t="s">
        <v>79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spans="1:21">
      <c r="A19" s="8" t="s">
        <v>202</v>
      </c>
      <c r="B19" s="7" t="s">
        <v>80</v>
      </c>
      <c r="C19" s="7" t="s">
        <v>543</v>
      </c>
      <c r="D19" s="7" t="s">
        <v>81</v>
      </c>
      <c r="E19" s="7" t="s">
        <v>660</v>
      </c>
      <c r="F19" s="7" t="s">
        <v>66</v>
      </c>
      <c r="G19" s="20" t="s">
        <v>17</v>
      </c>
      <c r="H19" s="21" t="s">
        <v>73</v>
      </c>
      <c r="I19" s="21" t="s">
        <v>54</v>
      </c>
      <c r="J19" s="8"/>
      <c r="K19" s="21" t="s">
        <v>32</v>
      </c>
      <c r="L19" s="21" t="s">
        <v>18</v>
      </c>
      <c r="M19" s="21" t="s">
        <v>78</v>
      </c>
      <c r="N19" s="8"/>
      <c r="O19" s="21" t="s">
        <v>17</v>
      </c>
      <c r="P19" s="21" t="s">
        <v>54</v>
      </c>
      <c r="Q19" s="20" t="s">
        <v>21</v>
      </c>
      <c r="R19" s="8"/>
      <c r="S19" s="29" t="str">
        <f>"227,5"</f>
        <v>227,5</v>
      </c>
      <c r="T19" s="8" t="str">
        <f>"381,1080"</f>
        <v>381,1080</v>
      </c>
      <c r="U19" s="7" t="s">
        <v>51</v>
      </c>
    </row>
    <row r="20" spans="1:21">
      <c r="A20" s="10" t="s">
        <v>202</v>
      </c>
      <c r="B20" s="9" t="s">
        <v>82</v>
      </c>
      <c r="C20" s="9" t="s">
        <v>83</v>
      </c>
      <c r="D20" s="9" t="s">
        <v>84</v>
      </c>
      <c r="E20" s="9" t="s">
        <v>657</v>
      </c>
      <c r="F20" s="9" t="s">
        <v>77</v>
      </c>
      <c r="G20" s="23" t="s">
        <v>68</v>
      </c>
      <c r="H20" s="23" t="s">
        <v>68</v>
      </c>
      <c r="I20" s="22" t="s">
        <v>68</v>
      </c>
      <c r="J20" s="10"/>
      <c r="K20" s="22" t="s">
        <v>85</v>
      </c>
      <c r="L20" s="23" t="s">
        <v>50</v>
      </c>
      <c r="M20" s="22" t="s">
        <v>50</v>
      </c>
      <c r="N20" s="10"/>
      <c r="O20" s="22" t="s">
        <v>86</v>
      </c>
      <c r="P20" s="23" t="s">
        <v>87</v>
      </c>
      <c r="Q20" s="23" t="s">
        <v>87</v>
      </c>
      <c r="R20" s="10"/>
      <c r="S20" s="30" t="str">
        <f>"310,0"</f>
        <v>310,0</v>
      </c>
      <c r="T20" s="10" t="str">
        <f>"522,3500"</f>
        <v>522,3500</v>
      </c>
      <c r="U20" s="9" t="s">
        <v>580</v>
      </c>
    </row>
    <row r="21" spans="1:21">
      <c r="A21" s="12" t="s">
        <v>203</v>
      </c>
      <c r="B21" s="11" t="s">
        <v>88</v>
      </c>
      <c r="C21" s="11" t="s">
        <v>89</v>
      </c>
      <c r="D21" s="11" t="s">
        <v>90</v>
      </c>
      <c r="E21" s="11" t="s">
        <v>657</v>
      </c>
      <c r="F21" s="11" t="s">
        <v>66</v>
      </c>
      <c r="G21" s="24" t="s">
        <v>35</v>
      </c>
      <c r="H21" s="24" t="s">
        <v>41</v>
      </c>
      <c r="I21" s="25" t="s">
        <v>54</v>
      </c>
      <c r="J21" s="12"/>
      <c r="K21" s="24" t="s">
        <v>19</v>
      </c>
      <c r="L21" s="24" t="s">
        <v>20</v>
      </c>
      <c r="M21" s="25" t="s">
        <v>85</v>
      </c>
      <c r="N21" s="12"/>
      <c r="O21" s="24" t="s">
        <v>21</v>
      </c>
      <c r="P21" s="25" t="s">
        <v>91</v>
      </c>
      <c r="Q21" s="25" t="s">
        <v>91</v>
      </c>
      <c r="R21" s="12"/>
      <c r="S21" s="31" t="str">
        <f>"235,0"</f>
        <v>235,0</v>
      </c>
      <c r="T21" s="12" t="str">
        <f>"392,9200"</f>
        <v>392,9200</v>
      </c>
      <c r="U21" s="11" t="s">
        <v>51</v>
      </c>
    </row>
    <row r="22" spans="1:21">
      <c r="B22" s="5" t="s">
        <v>204</v>
      </c>
    </row>
    <row r="23" spans="1:21" ht="16">
      <c r="A23" s="80" t="s">
        <v>56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</row>
    <row r="24" spans="1:21">
      <c r="A24" s="14" t="s">
        <v>202</v>
      </c>
      <c r="B24" s="13" t="s">
        <v>92</v>
      </c>
      <c r="C24" s="13" t="s">
        <v>93</v>
      </c>
      <c r="D24" s="13" t="s">
        <v>94</v>
      </c>
      <c r="E24" s="13" t="s">
        <v>657</v>
      </c>
      <c r="F24" s="13" t="s">
        <v>95</v>
      </c>
      <c r="G24" s="26" t="s">
        <v>23</v>
      </c>
      <c r="H24" s="27" t="s">
        <v>68</v>
      </c>
      <c r="I24" s="27" t="s">
        <v>96</v>
      </c>
      <c r="J24" s="14"/>
      <c r="K24" s="27" t="s">
        <v>35</v>
      </c>
      <c r="L24" s="27" t="s">
        <v>73</v>
      </c>
      <c r="M24" s="27" t="s">
        <v>54</v>
      </c>
      <c r="N24" s="14"/>
      <c r="O24" s="27" t="s">
        <v>97</v>
      </c>
      <c r="P24" s="27" t="s">
        <v>98</v>
      </c>
      <c r="Q24" s="26" t="s">
        <v>99</v>
      </c>
      <c r="R24" s="14"/>
      <c r="S24" s="32" t="str">
        <f>"390,0"</f>
        <v>390,0</v>
      </c>
      <c r="T24" s="14" t="str">
        <f>"586,6380"</f>
        <v>586,6380</v>
      </c>
      <c r="U24" s="13" t="s">
        <v>652</v>
      </c>
    </row>
    <row r="25" spans="1:21">
      <c r="B25" s="5" t="s">
        <v>204</v>
      </c>
    </row>
    <row r="26" spans="1:21" ht="16">
      <c r="A26" s="80" t="s">
        <v>79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</row>
    <row r="27" spans="1:21">
      <c r="A27" s="14" t="s">
        <v>202</v>
      </c>
      <c r="B27" s="13" t="s">
        <v>100</v>
      </c>
      <c r="C27" s="13" t="s">
        <v>101</v>
      </c>
      <c r="D27" s="13" t="s">
        <v>102</v>
      </c>
      <c r="E27" s="13" t="s">
        <v>657</v>
      </c>
      <c r="F27" s="13" t="s">
        <v>103</v>
      </c>
      <c r="G27" s="27" t="s">
        <v>104</v>
      </c>
      <c r="H27" s="26" t="s">
        <v>96</v>
      </c>
      <c r="I27" s="27" t="s">
        <v>96</v>
      </c>
      <c r="J27" s="14"/>
      <c r="K27" s="27" t="s">
        <v>44</v>
      </c>
      <c r="L27" s="26" t="s">
        <v>91</v>
      </c>
      <c r="M27" s="26" t="s">
        <v>91</v>
      </c>
      <c r="N27" s="14"/>
      <c r="O27" s="27" t="s">
        <v>105</v>
      </c>
      <c r="P27" s="26" t="s">
        <v>106</v>
      </c>
      <c r="Q27" s="26" t="s">
        <v>107</v>
      </c>
      <c r="R27" s="14"/>
      <c r="S27" s="32" t="str">
        <f>"427,5"</f>
        <v>427,5</v>
      </c>
      <c r="T27" s="14" t="str">
        <f>"538,3935"</f>
        <v>538,3935</v>
      </c>
      <c r="U27" s="13" t="s">
        <v>211</v>
      </c>
    </row>
    <row r="28" spans="1:21">
      <c r="B28" s="5" t="s">
        <v>204</v>
      </c>
    </row>
    <row r="29" spans="1:21" ht="16">
      <c r="A29" s="80" t="s">
        <v>108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</row>
    <row r="30" spans="1:21">
      <c r="A30" s="50" t="s">
        <v>202</v>
      </c>
      <c r="B30" s="33" t="s">
        <v>109</v>
      </c>
      <c r="C30" s="33" t="s">
        <v>110</v>
      </c>
      <c r="D30" s="7" t="s">
        <v>111</v>
      </c>
      <c r="E30" s="77" t="s">
        <v>657</v>
      </c>
      <c r="F30" s="7" t="s">
        <v>77</v>
      </c>
      <c r="G30" s="39" t="s">
        <v>112</v>
      </c>
      <c r="H30" s="20" t="s">
        <v>112</v>
      </c>
      <c r="I30" s="46" t="s">
        <v>112</v>
      </c>
      <c r="J30" s="40"/>
      <c r="K30" s="38" t="s">
        <v>43</v>
      </c>
      <c r="L30" s="38" t="s">
        <v>44</v>
      </c>
      <c r="M30" s="48" t="s">
        <v>91</v>
      </c>
      <c r="N30" s="50"/>
      <c r="O30" s="21" t="s">
        <v>113</v>
      </c>
      <c r="P30" s="54" t="s">
        <v>99</v>
      </c>
      <c r="Q30" s="54" t="s">
        <v>99</v>
      </c>
      <c r="R30" s="41"/>
      <c r="S30" s="59" t="str">
        <f>"407,5"</f>
        <v>407,5</v>
      </c>
      <c r="T30" s="41" t="str">
        <f>"465,4465"</f>
        <v>465,4465</v>
      </c>
      <c r="U30" s="35" t="s">
        <v>581</v>
      </c>
    </row>
    <row r="31" spans="1:21">
      <c r="A31" s="52" t="s">
        <v>202</v>
      </c>
      <c r="B31" s="70" t="s">
        <v>117</v>
      </c>
      <c r="C31" s="70" t="s">
        <v>628</v>
      </c>
      <c r="D31" s="9" t="s">
        <v>118</v>
      </c>
      <c r="E31" s="5" t="s">
        <v>658</v>
      </c>
      <c r="F31" s="9" t="s">
        <v>119</v>
      </c>
      <c r="G31" s="37" t="s">
        <v>60</v>
      </c>
      <c r="H31" s="22" t="s">
        <v>55</v>
      </c>
      <c r="I31" s="57" t="s">
        <v>61</v>
      </c>
      <c r="K31" s="55" t="s">
        <v>22</v>
      </c>
      <c r="L31" s="55" t="s">
        <v>91</v>
      </c>
      <c r="M31" s="55" t="s">
        <v>23</v>
      </c>
      <c r="N31" s="52"/>
      <c r="O31" s="22" t="s">
        <v>120</v>
      </c>
      <c r="P31" s="57" t="s">
        <v>121</v>
      </c>
      <c r="Q31" s="57" t="s">
        <v>122</v>
      </c>
      <c r="R31" s="53"/>
      <c r="S31" s="28" t="str">
        <f>"392,5"</f>
        <v>392,5</v>
      </c>
      <c r="T31" s="53" t="str">
        <f>"482,0534"</f>
        <v>482,0534</v>
      </c>
      <c r="U31" s="78" t="s">
        <v>652</v>
      </c>
    </row>
    <row r="32" spans="1:21">
      <c r="A32" s="51" t="s">
        <v>202</v>
      </c>
      <c r="B32" s="34" t="s">
        <v>114</v>
      </c>
      <c r="C32" s="34" t="s">
        <v>629</v>
      </c>
      <c r="D32" s="11" t="s">
        <v>115</v>
      </c>
      <c r="E32" s="79" t="s">
        <v>661</v>
      </c>
      <c r="F32" s="11" t="s">
        <v>66</v>
      </c>
      <c r="G32" s="43" t="s">
        <v>68</v>
      </c>
      <c r="H32" s="25" t="s">
        <v>86</v>
      </c>
      <c r="I32" s="47" t="s">
        <v>96</v>
      </c>
      <c r="J32" s="44"/>
      <c r="K32" s="42" t="s">
        <v>22</v>
      </c>
      <c r="L32" s="42" t="s">
        <v>67</v>
      </c>
      <c r="M32" s="49" t="s">
        <v>55</v>
      </c>
      <c r="N32" s="51"/>
      <c r="O32" s="24" t="s">
        <v>87</v>
      </c>
      <c r="P32" s="47" t="s">
        <v>97</v>
      </c>
      <c r="Q32" s="58" t="s">
        <v>116</v>
      </c>
      <c r="R32" s="45"/>
      <c r="S32" s="60" t="str">
        <f>"397,5"</f>
        <v>397,5</v>
      </c>
      <c r="T32" s="45" t="str">
        <f>"490,8096"</f>
        <v>490,8096</v>
      </c>
      <c r="U32" s="36" t="s">
        <v>51</v>
      </c>
    </row>
    <row r="33" spans="1:21">
      <c r="B33" s="5" t="s">
        <v>204</v>
      </c>
    </row>
    <row r="34" spans="1:21" ht="16">
      <c r="A34" s="80" t="s">
        <v>123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</row>
    <row r="35" spans="1:21">
      <c r="A35" s="8" t="s">
        <v>202</v>
      </c>
      <c r="B35" s="7" t="s">
        <v>124</v>
      </c>
      <c r="C35" s="7" t="s">
        <v>125</v>
      </c>
      <c r="D35" s="7" t="s">
        <v>126</v>
      </c>
      <c r="E35" s="7" t="s">
        <v>657</v>
      </c>
      <c r="F35" s="7" t="s">
        <v>39</v>
      </c>
      <c r="G35" s="21" t="s">
        <v>127</v>
      </c>
      <c r="H35" s="21" t="s">
        <v>105</v>
      </c>
      <c r="I35" s="21" t="s">
        <v>128</v>
      </c>
      <c r="J35" s="8"/>
      <c r="K35" s="21" t="s">
        <v>96</v>
      </c>
      <c r="L35" s="21" t="s">
        <v>87</v>
      </c>
      <c r="M35" s="21" t="s">
        <v>120</v>
      </c>
      <c r="N35" s="8"/>
      <c r="O35" s="21" t="s">
        <v>129</v>
      </c>
      <c r="P35" s="21" t="s">
        <v>130</v>
      </c>
      <c r="Q35" s="21" t="s">
        <v>131</v>
      </c>
      <c r="R35" s="8"/>
      <c r="S35" s="29" t="str">
        <f>"570,0"</f>
        <v>570,0</v>
      </c>
      <c r="T35" s="8" t="str">
        <f>"590,0640"</f>
        <v>590,0640</v>
      </c>
      <c r="U35" s="7" t="s">
        <v>582</v>
      </c>
    </row>
    <row r="36" spans="1:21">
      <c r="A36" s="12" t="s">
        <v>203</v>
      </c>
      <c r="B36" s="11" t="s">
        <v>132</v>
      </c>
      <c r="C36" s="11" t="s">
        <v>133</v>
      </c>
      <c r="D36" s="11" t="s">
        <v>134</v>
      </c>
      <c r="E36" s="11" t="s">
        <v>657</v>
      </c>
      <c r="F36" s="11" t="s">
        <v>135</v>
      </c>
      <c r="G36" s="24" t="s">
        <v>136</v>
      </c>
      <c r="H36" s="24" t="s">
        <v>113</v>
      </c>
      <c r="I36" s="24" t="s">
        <v>99</v>
      </c>
      <c r="J36" s="12"/>
      <c r="K36" s="24" t="s">
        <v>68</v>
      </c>
      <c r="L36" s="24" t="s">
        <v>62</v>
      </c>
      <c r="M36" s="24" t="s">
        <v>96</v>
      </c>
      <c r="N36" s="12"/>
      <c r="O36" s="24" t="s">
        <v>105</v>
      </c>
      <c r="P36" s="24" t="s">
        <v>106</v>
      </c>
      <c r="Q36" s="24" t="s">
        <v>129</v>
      </c>
      <c r="R36" s="12"/>
      <c r="S36" s="31" t="str">
        <f>"515,0"</f>
        <v>515,0</v>
      </c>
      <c r="T36" s="12" t="str">
        <f>"537,0420"</f>
        <v>537,0420</v>
      </c>
      <c r="U36" s="11" t="s">
        <v>51</v>
      </c>
    </row>
    <row r="37" spans="1:21">
      <c r="B37" s="5" t="s">
        <v>204</v>
      </c>
    </row>
    <row r="38" spans="1:21" ht="16">
      <c r="A38" s="80" t="s">
        <v>137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</row>
    <row r="39" spans="1:21">
      <c r="A39" s="8" t="s">
        <v>202</v>
      </c>
      <c r="B39" s="7" t="s">
        <v>138</v>
      </c>
      <c r="C39" s="7" t="s">
        <v>139</v>
      </c>
      <c r="D39" s="7" t="s">
        <v>140</v>
      </c>
      <c r="E39" s="7" t="s">
        <v>657</v>
      </c>
      <c r="F39" s="7" t="s">
        <v>77</v>
      </c>
      <c r="G39" s="21" t="s">
        <v>129</v>
      </c>
      <c r="H39" s="20" t="s">
        <v>141</v>
      </c>
      <c r="I39" s="20" t="s">
        <v>142</v>
      </c>
      <c r="J39" s="8"/>
      <c r="K39" s="21" t="s">
        <v>87</v>
      </c>
      <c r="L39" s="21" t="s">
        <v>120</v>
      </c>
      <c r="M39" s="21" t="s">
        <v>143</v>
      </c>
      <c r="N39" s="8"/>
      <c r="O39" s="21" t="s">
        <v>144</v>
      </c>
      <c r="P39" s="21" t="s">
        <v>145</v>
      </c>
      <c r="Q39" s="20" t="s">
        <v>146</v>
      </c>
      <c r="R39" s="8"/>
      <c r="S39" s="29" t="str">
        <f>"642,5"</f>
        <v>642,5</v>
      </c>
      <c r="T39" s="8" t="str">
        <f>"623,4820"</f>
        <v>623,4820</v>
      </c>
      <c r="U39" s="7" t="s">
        <v>652</v>
      </c>
    </row>
    <row r="40" spans="1:21">
      <c r="A40" s="10" t="s">
        <v>203</v>
      </c>
      <c r="B40" s="9" t="s">
        <v>147</v>
      </c>
      <c r="C40" s="9" t="s">
        <v>148</v>
      </c>
      <c r="D40" s="9" t="s">
        <v>149</v>
      </c>
      <c r="E40" s="9" t="s">
        <v>657</v>
      </c>
      <c r="F40" s="9" t="s">
        <v>66</v>
      </c>
      <c r="G40" s="22" t="s">
        <v>106</v>
      </c>
      <c r="H40" s="22" t="s">
        <v>150</v>
      </c>
      <c r="I40" s="22" t="s">
        <v>151</v>
      </c>
      <c r="J40" s="10"/>
      <c r="K40" s="22" t="s">
        <v>97</v>
      </c>
      <c r="L40" s="22" t="s">
        <v>136</v>
      </c>
      <c r="M40" s="22" t="s">
        <v>116</v>
      </c>
      <c r="N40" s="10"/>
      <c r="O40" s="22" t="s">
        <v>131</v>
      </c>
      <c r="P40" s="22" t="s">
        <v>152</v>
      </c>
      <c r="Q40" s="22" t="s">
        <v>153</v>
      </c>
      <c r="R40" s="10"/>
      <c r="S40" s="30" t="str">
        <f>"635,0"</f>
        <v>635,0</v>
      </c>
      <c r="T40" s="10" t="str">
        <f>"615,8230"</f>
        <v>615,8230</v>
      </c>
      <c r="U40" s="9" t="s">
        <v>51</v>
      </c>
    </row>
    <row r="41" spans="1:21">
      <c r="A41" s="10" t="s">
        <v>206</v>
      </c>
      <c r="B41" s="9" t="s">
        <v>154</v>
      </c>
      <c r="C41" s="9" t="s">
        <v>155</v>
      </c>
      <c r="D41" s="9" t="s">
        <v>156</v>
      </c>
      <c r="E41" s="9" t="s">
        <v>657</v>
      </c>
      <c r="F41" s="9" t="s">
        <v>77</v>
      </c>
      <c r="G41" s="23" t="s">
        <v>68</v>
      </c>
      <c r="H41" s="23" t="s">
        <v>104</v>
      </c>
      <c r="I41" s="22" t="s">
        <v>104</v>
      </c>
      <c r="J41" s="10"/>
      <c r="K41" s="22" t="s">
        <v>91</v>
      </c>
      <c r="L41" s="22" t="s">
        <v>60</v>
      </c>
      <c r="M41" s="23" t="s">
        <v>68</v>
      </c>
      <c r="N41" s="10"/>
      <c r="O41" s="23" t="s">
        <v>21</v>
      </c>
      <c r="P41" s="10"/>
      <c r="Q41" s="10"/>
      <c r="R41" s="10"/>
      <c r="S41" s="30">
        <v>0</v>
      </c>
      <c r="T41" s="10" t="str">
        <f>"0,0000"</f>
        <v>0,0000</v>
      </c>
      <c r="U41" s="9" t="s">
        <v>652</v>
      </c>
    </row>
    <row r="42" spans="1:21">
      <c r="A42" s="10" t="s">
        <v>206</v>
      </c>
      <c r="B42" s="9" t="s">
        <v>157</v>
      </c>
      <c r="C42" s="9" t="s">
        <v>158</v>
      </c>
      <c r="D42" s="9" t="s">
        <v>159</v>
      </c>
      <c r="E42" s="9" t="s">
        <v>657</v>
      </c>
      <c r="F42" s="9" t="s">
        <v>77</v>
      </c>
      <c r="G42" s="22" t="s">
        <v>106</v>
      </c>
      <c r="H42" s="22" t="s">
        <v>160</v>
      </c>
      <c r="I42" s="23" t="s">
        <v>161</v>
      </c>
      <c r="J42" s="10"/>
      <c r="K42" s="22" t="s">
        <v>97</v>
      </c>
      <c r="L42" s="22" t="s">
        <v>136</v>
      </c>
      <c r="M42" s="22" t="s">
        <v>122</v>
      </c>
      <c r="N42" s="10"/>
      <c r="O42" s="23" t="s">
        <v>129</v>
      </c>
      <c r="P42" s="23" t="s">
        <v>162</v>
      </c>
      <c r="Q42" s="23" t="s">
        <v>131</v>
      </c>
      <c r="R42" s="10"/>
      <c r="S42" s="30">
        <v>0</v>
      </c>
      <c r="T42" s="10" t="str">
        <f>"0,0000"</f>
        <v>0,0000</v>
      </c>
      <c r="U42" s="9" t="s">
        <v>652</v>
      </c>
    </row>
    <row r="43" spans="1:21">
      <c r="A43" s="12" t="s">
        <v>202</v>
      </c>
      <c r="B43" s="11" t="s">
        <v>163</v>
      </c>
      <c r="C43" s="11" t="s">
        <v>544</v>
      </c>
      <c r="D43" s="11" t="s">
        <v>164</v>
      </c>
      <c r="E43" s="11" t="s">
        <v>661</v>
      </c>
      <c r="F43" s="11" t="s">
        <v>165</v>
      </c>
      <c r="G43" s="24" t="s">
        <v>96</v>
      </c>
      <c r="H43" s="24" t="s">
        <v>87</v>
      </c>
      <c r="I43" s="24" t="s">
        <v>120</v>
      </c>
      <c r="J43" s="12"/>
      <c r="K43" s="24" t="s">
        <v>96</v>
      </c>
      <c r="L43" s="24" t="s">
        <v>87</v>
      </c>
      <c r="M43" s="24" t="s">
        <v>120</v>
      </c>
      <c r="N43" s="12"/>
      <c r="O43" s="24" t="s">
        <v>99</v>
      </c>
      <c r="P43" s="24" t="s">
        <v>166</v>
      </c>
      <c r="Q43" s="24" t="s">
        <v>105</v>
      </c>
      <c r="R43" s="12"/>
      <c r="S43" s="31" t="str">
        <f>"480,0"</f>
        <v>480,0</v>
      </c>
      <c r="T43" s="12" t="str">
        <f>"525,2020"</f>
        <v>525,2020</v>
      </c>
      <c r="U43" s="11" t="s">
        <v>583</v>
      </c>
    </row>
    <row r="44" spans="1:21">
      <c r="B44" s="5" t="s">
        <v>204</v>
      </c>
    </row>
    <row r="45" spans="1:21" ht="16">
      <c r="A45" s="80" t="s">
        <v>167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</row>
    <row r="46" spans="1:21">
      <c r="A46" s="14" t="s">
        <v>202</v>
      </c>
      <c r="B46" s="13" t="s">
        <v>168</v>
      </c>
      <c r="C46" s="13" t="s">
        <v>545</v>
      </c>
      <c r="D46" s="13" t="s">
        <v>169</v>
      </c>
      <c r="E46" s="13" t="s">
        <v>662</v>
      </c>
      <c r="F46" s="13" t="s">
        <v>77</v>
      </c>
      <c r="G46" s="27" t="s">
        <v>122</v>
      </c>
      <c r="H46" s="27" t="s">
        <v>170</v>
      </c>
      <c r="I46" s="27" t="s">
        <v>171</v>
      </c>
      <c r="J46" s="27" t="s">
        <v>172</v>
      </c>
      <c r="K46" s="27" t="s">
        <v>21</v>
      </c>
      <c r="L46" s="27" t="s">
        <v>22</v>
      </c>
      <c r="M46" s="27" t="s">
        <v>23</v>
      </c>
      <c r="N46" s="14"/>
      <c r="O46" s="27" t="s">
        <v>166</v>
      </c>
      <c r="P46" s="27" t="s">
        <v>105</v>
      </c>
      <c r="Q46" s="27" t="s">
        <v>106</v>
      </c>
      <c r="R46" s="14"/>
      <c r="S46" s="32" t="str">
        <f>"487,5"</f>
        <v>487,5</v>
      </c>
      <c r="T46" s="14" t="str">
        <f>"448,4025"</f>
        <v>448,4025</v>
      </c>
      <c r="U46" s="13" t="s">
        <v>652</v>
      </c>
    </row>
    <row r="47" spans="1:21">
      <c r="B47" s="5" t="s">
        <v>204</v>
      </c>
    </row>
    <row r="48" spans="1:21" ht="16">
      <c r="A48" s="80" t="s">
        <v>173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</row>
    <row r="49" spans="1:21">
      <c r="A49" s="14" t="s">
        <v>202</v>
      </c>
      <c r="B49" s="13" t="s">
        <v>174</v>
      </c>
      <c r="C49" s="13" t="s">
        <v>175</v>
      </c>
      <c r="D49" s="13" t="s">
        <v>176</v>
      </c>
      <c r="E49" s="13" t="s">
        <v>657</v>
      </c>
      <c r="F49" s="13" t="s">
        <v>66</v>
      </c>
      <c r="G49" s="27" t="s">
        <v>97</v>
      </c>
      <c r="H49" s="26" t="s">
        <v>122</v>
      </c>
      <c r="I49" s="27" t="s">
        <v>99</v>
      </c>
      <c r="J49" s="14"/>
      <c r="K49" s="27" t="s">
        <v>96</v>
      </c>
      <c r="L49" s="27" t="s">
        <v>112</v>
      </c>
      <c r="M49" s="27" t="s">
        <v>97</v>
      </c>
      <c r="N49" s="14"/>
      <c r="O49" s="26" t="s">
        <v>166</v>
      </c>
      <c r="P49" s="27" t="s">
        <v>127</v>
      </c>
      <c r="Q49" s="26" t="s">
        <v>128</v>
      </c>
      <c r="R49" s="14"/>
      <c r="S49" s="32" t="str">
        <f>"505,0"</f>
        <v>505,0</v>
      </c>
      <c r="T49" s="14" t="str">
        <f>"450,3590"</f>
        <v>450,3590</v>
      </c>
      <c r="U49" s="13" t="s">
        <v>51</v>
      </c>
    </row>
    <row r="50" spans="1:21">
      <c r="B50" s="5" t="s">
        <v>204</v>
      </c>
    </row>
    <row r="53" spans="1:21" ht="18">
      <c r="B53" s="15" t="s">
        <v>177</v>
      </c>
      <c r="C53" s="15"/>
    </row>
    <row r="54" spans="1:21" ht="16">
      <c r="B54" s="16" t="s">
        <v>178</v>
      </c>
      <c r="C54" s="16"/>
    </row>
    <row r="55" spans="1:21" ht="14">
      <c r="B55" s="17"/>
      <c r="C55" s="18" t="s">
        <v>184</v>
      </c>
    </row>
    <row r="56" spans="1:21" ht="14">
      <c r="B56" s="19" t="s">
        <v>179</v>
      </c>
      <c r="C56" s="19" t="s">
        <v>180</v>
      </c>
      <c r="D56" s="19" t="s">
        <v>577</v>
      </c>
      <c r="E56" s="19" t="s">
        <v>181</v>
      </c>
      <c r="F56" s="19" t="s">
        <v>182</v>
      </c>
    </row>
    <row r="57" spans="1:21">
      <c r="B57" s="5" t="s">
        <v>57</v>
      </c>
      <c r="C57" s="5" t="s">
        <v>184</v>
      </c>
      <c r="D57" s="6" t="s">
        <v>185</v>
      </c>
      <c r="E57" s="6" t="s">
        <v>186</v>
      </c>
      <c r="F57" s="6" t="s">
        <v>187</v>
      </c>
    </row>
    <row r="58" spans="1:21">
      <c r="B58" s="5" t="s">
        <v>82</v>
      </c>
      <c r="C58" s="5" t="s">
        <v>184</v>
      </c>
      <c r="D58" s="6" t="s">
        <v>183</v>
      </c>
      <c r="E58" s="6" t="s">
        <v>186</v>
      </c>
      <c r="F58" s="6" t="s">
        <v>188</v>
      </c>
    </row>
    <row r="59" spans="1:21">
      <c r="B59" s="5" t="s">
        <v>63</v>
      </c>
      <c r="C59" s="5" t="s">
        <v>184</v>
      </c>
      <c r="D59" s="6" t="s">
        <v>185</v>
      </c>
      <c r="E59" s="6" t="s">
        <v>189</v>
      </c>
      <c r="F59" s="6" t="s">
        <v>190</v>
      </c>
    </row>
    <row r="61" spans="1:21" ht="16">
      <c r="B61" s="16" t="s">
        <v>192</v>
      </c>
      <c r="C61" s="16"/>
    </row>
    <row r="62" spans="1:21" ht="14">
      <c r="B62" s="17"/>
      <c r="C62" s="18" t="s">
        <v>184</v>
      </c>
    </row>
    <row r="63" spans="1:21" ht="14">
      <c r="B63" s="19" t="s">
        <v>179</v>
      </c>
      <c r="C63" s="19" t="s">
        <v>180</v>
      </c>
      <c r="D63" s="19" t="s">
        <v>577</v>
      </c>
      <c r="E63" s="19" t="s">
        <v>181</v>
      </c>
      <c r="F63" s="19" t="s">
        <v>182</v>
      </c>
    </row>
    <row r="64" spans="1:21">
      <c r="B64" s="5" t="s">
        <v>138</v>
      </c>
      <c r="C64" s="5" t="s">
        <v>184</v>
      </c>
      <c r="D64" s="6" t="s">
        <v>194</v>
      </c>
      <c r="E64" s="6" t="s">
        <v>195</v>
      </c>
      <c r="F64" s="6" t="s">
        <v>196</v>
      </c>
    </row>
    <row r="65" spans="2:6">
      <c r="B65" s="5" t="s">
        <v>147</v>
      </c>
      <c r="C65" s="5" t="s">
        <v>184</v>
      </c>
      <c r="D65" s="6" t="s">
        <v>194</v>
      </c>
      <c r="E65" s="6" t="s">
        <v>197</v>
      </c>
      <c r="F65" s="6" t="s">
        <v>198</v>
      </c>
    </row>
    <row r="66" spans="2:6">
      <c r="B66" s="5" t="s">
        <v>124</v>
      </c>
      <c r="C66" s="5" t="s">
        <v>184</v>
      </c>
      <c r="D66" s="6" t="s">
        <v>199</v>
      </c>
      <c r="E66" s="6" t="s">
        <v>200</v>
      </c>
      <c r="F66" s="6" t="s">
        <v>201</v>
      </c>
    </row>
    <row r="67" spans="2:6">
      <c r="B67" s="5" t="s">
        <v>204</v>
      </c>
    </row>
  </sheetData>
  <mergeCells count="23"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B3:B4"/>
    <mergeCell ref="A5:R5"/>
    <mergeCell ref="A12:R12"/>
    <mergeCell ref="A18:R18"/>
    <mergeCell ref="A23:R23"/>
    <mergeCell ref="A26:R26"/>
    <mergeCell ref="A29:R29"/>
    <mergeCell ref="A34:R34"/>
    <mergeCell ref="A38:R38"/>
    <mergeCell ref="A45:R45"/>
    <mergeCell ref="A48:R48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2.1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" style="5" customWidth="1"/>
    <col min="14" max="16384" width="9.1640625" style="3"/>
  </cols>
  <sheetData>
    <row r="1" spans="1:13" s="2" customFormat="1" ht="29" customHeight="1">
      <c r="A1" s="87" t="s">
        <v>613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9</v>
      </c>
      <c r="H3" s="83"/>
      <c r="I3" s="83"/>
      <c r="J3" s="83"/>
      <c r="K3" s="83" t="s">
        <v>319</v>
      </c>
      <c r="L3" s="83" t="s">
        <v>3</v>
      </c>
      <c r="M3" s="98" t="s">
        <v>2</v>
      </c>
    </row>
    <row r="4" spans="1:13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84"/>
      <c r="L4" s="84"/>
      <c r="M4" s="99"/>
    </row>
    <row r="5" spans="1:13" ht="16">
      <c r="A5" s="81" t="s">
        <v>79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14" t="s">
        <v>202</v>
      </c>
      <c r="B6" s="13" t="s">
        <v>215</v>
      </c>
      <c r="C6" s="13" t="s">
        <v>216</v>
      </c>
      <c r="D6" s="13" t="s">
        <v>217</v>
      </c>
      <c r="E6" s="13" t="s">
        <v>657</v>
      </c>
      <c r="F6" s="13" t="s">
        <v>77</v>
      </c>
      <c r="G6" s="26" t="s">
        <v>107</v>
      </c>
      <c r="H6" s="26" t="s">
        <v>107</v>
      </c>
      <c r="I6" s="27" t="s">
        <v>129</v>
      </c>
      <c r="J6" s="14"/>
      <c r="K6" s="14" t="str">
        <f>"210,0"</f>
        <v>210,0</v>
      </c>
      <c r="L6" s="14" t="str">
        <f>"260,9880"</f>
        <v>260,9880</v>
      </c>
      <c r="M6" s="13" t="s">
        <v>652</v>
      </c>
    </row>
    <row r="7" spans="1:13">
      <c r="B7" s="5" t="s">
        <v>204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M77"/>
  <sheetViews>
    <sheetView topLeftCell="A23" workbookViewId="0">
      <selection activeCell="E59" sqref="E59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9" style="5" bestFit="1" customWidth="1"/>
    <col min="4" max="4" width="21.5" style="5" bestFit="1" customWidth="1"/>
    <col min="5" max="5" width="14" style="5" customWidth="1"/>
    <col min="6" max="6" width="33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6.83203125" style="5" bestFit="1" customWidth="1"/>
    <col min="14" max="16384" width="9.1640625" style="3"/>
  </cols>
  <sheetData>
    <row r="1" spans="1:13" s="2" customFormat="1" ht="29" customHeight="1">
      <c r="A1" s="87" t="s">
        <v>614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10</v>
      </c>
      <c r="H3" s="83"/>
      <c r="I3" s="83"/>
      <c r="J3" s="83"/>
      <c r="K3" s="83" t="s">
        <v>319</v>
      </c>
      <c r="L3" s="83" t="s">
        <v>3</v>
      </c>
      <c r="M3" s="98" t="s">
        <v>2</v>
      </c>
    </row>
    <row r="4" spans="1:13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84"/>
      <c r="L4" s="84"/>
      <c r="M4" s="99"/>
    </row>
    <row r="5" spans="1:13" ht="16">
      <c r="A5" s="81" t="s">
        <v>241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8" t="s">
        <v>202</v>
      </c>
      <c r="B6" s="7" t="s">
        <v>242</v>
      </c>
      <c r="C6" s="7" t="s">
        <v>547</v>
      </c>
      <c r="D6" s="7" t="s">
        <v>243</v>
      </c>
      <c r="E6" s="7" t="s">
        <v>663</v>
      </c>
      <c r="F6" s="7" t="s">
        <v>77</v>
      </c>
      <c r="G6" s="38" t="s">
        <v>32</v>
      </c>
      <c r="H6" s="38" t="s">
        <v>18</v>
      </c>
      <c r="I6" s="21" t="s">
        <v>78</v>
      </c>
      <c r="J6" s="8"/>
      <c r="K6" s="8" t="str">
        <f>"47,5"</f>
        <v>47,5</v>
      </c>
      <c r="L6" s="8" t="str">
        <f>"126,3975"</f>
        <v>126,3975</v>
      </c>
      <c r="M6" s="7" t="s">
        <v>239</v>
      </c>
    </row>
    <row r="7" spans="1:13">
      <c r="A7" s="12" t="s">
        <v>202</v>
      </c>
      <c r="B7" s="11" t="s">
        <v>242</v>
      </c>
      <c r="C7" s="11" t="s">
        <v>244</v>
      </c>
      <c r="D7" s="11" t="s">
        <v>243</v>
      </c>
      <c r="E7" s="11" t="s">
        <v>657</v>
      </c>
      <c r="F7" s="11" t="s">
        <v>77</v>
      </c>
      <c r="G7" s="42" t="s">
        <v>32</v>
      </c>
      <c r="H7" s="42" t="s">
        <v>18</v>
      </c>
      <c r="I7" s="24" t="s">
        <v>78</v>
      </c>
      <c r="J7" s="12"/>
      <c r="K7" s="12" t="str">
        <f>"47,5"</f>
        <v>47,5</v>
      </c>
      <c r="L7" s="12" t="str">
        <f>"126,3975"</f>
        <v>126,3975</v>
      </c>
      <c r="M7" s="11" t="s">
        <v>239</v>
      </c>
    </row>
    <row r="8" spans="1:13">
      <c r="B8" s="5" t="s">
        <v>204</v>
      </c>
    </row>
    <row r="9" spans="1:13" ht="16">
      <c r="A9" s="80" t="s">
        <v>247</v>
      </c>
      <c r="B9" s="80"/>
      <c r="C9" s="80"/>
      <c r="D9" s="80"/>
      <c r="E9" s="80"/>
      <c r="F9" s="80"/>
      <c r="G9" s="80"/>
      <c r="H9" s="80"/>
      <c r="I9" s="80"/>
      <c r="J9" s="80"/>
    </row>
    <row r="10" spans="1:13">
      <c r="A10" s="8" t="s">
        <v>202</v>
      </c>
      <c r="B10" s="7" t="s">
        <v>248</v>
      </c>
      <c r="C10" s="7" t="s">
        <v>548</v>
      </c>
      <c r="D10" s="7" t="s">
        <v>249</v>
      </c>
      <c r="E10" s="7" t="s">
        <v>660</v>
      </c>
      <c r="F10" s="7" t="s">
        <v>250</v>
      </c>
      <c r="G10" s="38" t="s">
        <v>48</v>
      </c>
      <c r="H10" s="48" t="s">
        <v>32</v>
      </c>
      <c r="I10" s="48" t="s">
        <v>32</v>
      </c>
      <c r="J10" s="8"/>
      <c r="K10" s="8" t="str">
        <f>"35,0"</f>
        <v>35,0</v>
      </c>
      <c r="L10" s="8" t="str">
        <f>"75,2080"</f>
        <v>75,2080</v>
      </c>
      <c r="M10" s="7" t="s">
        <v>239</v>
      </c>
    </row>
    <row r="11" spans="1:13">
      <c r="A11" s="12" t="s">
        <v>202</v>
      </c>
      <c r="B11" s="11" t="s">
        <v>248</v>
      </c>
      <c r="C11" s="11" t="s">
        <v>251</v>
      </c>
      <c r="D11" s="11" t="s">
        <v>249</v>
      </c>
      <c r="E11" s="11" t="s">
        <v>657</v>
      </c>
      <c r="F11" s="11" t="s">
        <v>250</v>
      </c>
      <c r="G11" s="42" t="s">
        <v>48</v>
      </c>
      <c r="H11" s="49" t="s">
        <v>32</v>
      </c>
      <c r="I11" s="49" t="s">
        <v>32</v>
      </c>
      <c r="J11" s="12"/>
      <c r="K11" s="12" t="str">
        <f>"35,0"</f>
        <v>35,0</v>
      </c>
      <c r="L11" s="12" t="str">
        <f>"75,2080"</f>
        <v>75,2080</v>
      </c>
      <c r="M11" s="11" t="s">
        <v>239</v>
      </c>
    </row>
    <row r="12" spans="1:13">
      <c r="B12" s="5" t="s">
        <v>204</v>
      </c>
    </row>
    <row r="13" spans="1:13" ht="16">
      <c r="A13" s="80" t="s">
        <v>12</v>
      </c>
      <c r="B13" s="80"/>
      <c r="C13" s="80"/>
      <c r="D13" s="80"/>
      <c r="E13" s="80"/>
      <c r="F13" s="80"/>
      <c r="G13" s="80"/>
      <c r="H13" s="80"/>
      <c r="I13" s="80"/>
      <c r="J13" s="80"/>
    </row>
    <row r="14" spans="1:13">
      <c r="A14" s="8" t="s">
        <v>202</v>
      </c>
      <c r="B14" s="7" t="s">
        <v>252</v>
      </c>
      <c r="C14" s="7" t="s">
        <v>549</v>
      </c>
      <c r="D14" s="7" t="s">
        <v>253</v>
      </c>
      <c r="E14" s="7" t="s">
        <v>660</v>
      </c>
      <c r="F14" s="33" t="s">
        <v>586</v>
      </c>
      <c r="G14" s="38" t="s">
        <v>255</v>
      </c>
      <c r="H14" s="21" t="s">
        <v>48</v>
      </c>
      <c r="I14" s="54" t="s">
        <v>32</v>
      </c>
      <c r="J14" s="41"/>
      <c r="K14" s="8" t="str">
        <f>"35,0"</f>
        <v>35,0</v>
      </c>
      <c r="L14" s="8" t="str">
        <f>"69,4400"</f>
        <v>69,4400</v>
      </c>
      <c r="M14" s="7" t="s">
        <v>239</v>
      </c>
    </row>
    <row r="15" spans="1:13">
      <c r="A15" s="10" t="s">
        <v>202</v>
      </c>
      <c r="B15" s="9" t="s">
        <v>256</v>
      </c>
      <c r="C15" s="9" t="s">
        <v>550</v>
      </c>
      <c r="D15" s="9" t="s">
        <v>257</v>
      </c>
      <c r="E15" s="9" t="s">
        <v>663</v>
      </c>
      <c r="F15" s="70" t="s">
        <v>26</v>
      </c>
      <c r="G15" s="55" t="s">
        <v>255</v>
      </c>
      <c r="H15" s="22" t="s">
        <v>48</v>
      </c>
      <c r="I15" s="56" t="s">
        <v>32</v>
      </c>
      <c r="J15" s="53"/>
      <c r="K15" s="10" t="str">
        <f>"35,0"</f>
        <v>35,0</v>
      </c>
      <c r="L15" s="10" t="str">
        <f>"67,6900"</f>
        <v>67,6900</v>
      </c>
      <c r="M15" s="9" t="s">
        <v>652</v>
      </c>
    </row>
    <row r="16" spans="1:13">
      <c r="A16" s="10" t="s">
        <v>202</v>
      </c>
      <c r="B16" s="9" t="s">
        <v>252</v>
      </c>
      <c r="C16" s="9" t="s">
        <v>261</v>
      </c>
      <c r="D16" s="9" t="s">
        <v>253</v>
      </c>
      <c r="E16" s="9" t="s">
        <v>657</v>
      </c>
      <c r="F16" s="70" t="s">
        <v>586</v>
      </c>
      <c r="G16" s="55" t="s">
        <v>255</v>
      </c>
      <c r="H16" s="22" t="s">
        <v>48</v>
      </c>
      <c r="I16" s="56" t="s">
        <v>32</v>
      </c>
      <c r="J16" s="53"/>
      <c r="K16" s="10" t="str">
        <f>"35,0"</f>
        <v>35,0</v>
      </c>
      <c r="L16" s="10" t="str">
        <f>"69,4400"</f>
        <v>69,4400</v>
      </c>
      <c r="M16" s="9" t="s">
        <v>239</v>
      </c>
    </row>
    <row r="17" spans="1:13">
      <c r="A17" s="10" t="s">
        <v>203</v>
      </c>
      <c r="B17" s="9" t="s">
        <v>256</v>
      </c>
      <c r="C17" s="9" t="s">
        <v>262</v>
      </c>
      <c r="D17" s="9" t="s">
        <v>257</v>
      </c>
      <c r="E17" s="9" t="s">
        <v>657</v>
      </c>
      <c r="F17" s="70" t="s">
        <v>26</v>
      </c>
      <c r="G17" s="55" t="s">
        <v>255</v>
      </c>
      <c r="H17" s="22" t="s">
        <v>48</v>
      </c>
      <c r="I17" s="56" t="s">
        <v>32</v>
      </c>
      <c r="J17" s="53"/>
      <c r="K17" s="10" t="str">
        <f>"35,0"</f>
        <v>35,0</v>
      </c>
      <c r="L17" s="10" t="str">
        <f>"67,6900"</f>
        <v>67,6900</v>
      </c>
      <c r="M17" s="9" t="s">
        <v>652</v>
      </c>
    </row>
    <row r="18" spans="1:13">
      <c r="A18" s="12" t="s">
        <v>202</v>
      </c>
      <c r="B18" s="11" t="s">
        <v>37</v>
      </c>
      <c r="C18" s="11" t="s">
        <v>625</v>
      </c>
      <c r="D18" s="11" t="s">
        <v>38</v>
      </c>
      <c r="E18" s="11" t="s">
        <v>658</v>
      </c>
      <c r="F18" s="34" t="s">
        <v>39</v>
      </c>
      <c r="G18" s="42" t="s">
        <v>42</v>
      </c>
      <c r="H18" s="25" t="s">
        <v>28</v>
      </c>
      <c r="I18" s="58" t="s">
        <v>28</v>
      </c>
      <c r="J18" s="45"/>
      <c r="K18" s="12" t="str">
        <f>"62,5"</f>
        <v>62,5</v>
      </c>
      <c r="L18" s="12" t="str">
        <f>"121,0146"</f>
        <v>121,0146</v>
      </c>
      <c r="M18" s="11" t="s">
        <v>45</v>
      </c>
    </row>
    <row r="19" spans="1:13">
      <c r="B19" s="5" t="s">
        <v>204</v>
      </c>
    </row>
    <row r="20" spans="1:13" ht="16">
      <c r="A20" s="80" t="s">
        <v>56</v>
      </c>
      <c r="B20" s="80"/>
      <c r="C20" s="80"/>
      <c r="D20" s="80"/>
      <c r="E20" s="80"/>
      <c r="F20" s="80"/>
      <c r="G20" s="80"/>
      <c r="H20" s="80"/>
      <c r="I20" s="80"/>
      <c r="J20" s="80"/>
    </row>
    <row r="21" spans="1:13">
      <c r="A21" s="14" t="s">
        <v>202</v>
      </c>
      <c r="B21" s="13" t="s">
        <v>320</v>
      </c>
      <c r="C21" s="13" t="s">
        <v>321</v>
      </c>
      <c r="D21" s="13" t="s">
        <v>322</v>
      </c>
      <c r="E21" s="13" t="s">
        <v>657</v>
      </c>
      <c r="F21" s="13" t="s">
        <v>77</v>
      </c>
      <c r="G21" s="27" t="s">
        <v>50</v>
      </c>
      <c r="H21" s="27" t="s">
        <v>42</v>
      </c>
      <c r="I21" s="26" t="s">
        <v>28</v>
      </c>
      <c r="J21" s="14"/>
      <c r="K21" s="14" t="str">
        <f>"62,5"</f>
        <v>62,5</v>
      </c>
      <c r="L21" s="14" t="str">
        <f>"111,5875"</f>
        <v>111,5875</v>
      </c>
      <c r="M21" s="13" t="s">
        <v>590</v>
      </c>
    </row>
    <row r="22" spans="1:13">
      <c r="B22" s="5" t="s">
        <v>204</v>
      </c>
    </row>
    <row r="23" spans="1:13" ht="16">
      <c r="A23" s="80" t="s">
        <v>137</v>
      </c>
      <c r="B23" s="80"/>
      <c r="C23" s="80"/>
      <c r="D23" s="80"/>
      <c r="E23" s="80"/>
      <c r="F23" s="80"/>
      <c r="G23" s="80"/>
      <c r="H23" s="80"/>
      <c r="I23" s="80"/>
      <c r="J23" s="80"/>
    </row>
    <row r="24" spans="1:13">
      <c r="A24" s="14" t="s">
        <v>202</v>
      </c>
      <c r="B24" s="13" t="s">
        <v>323</v>
      </c>
      <c r="C24" s="13" t="s">
        <v>324</v>
      </c>
      <c r="D24" s="13" t="s">
        <v>325</v>
      </c>
      <c r="E24" s="13" t="s">
        <v>657</v>
      </c>
      <c r="F24" s="13" t="s">
        <v>77</v>
      </c>
      <c r="G24" s="26" t="s">
        <v>85</v>
      </c>
      <c r="H24" s="27" t="s">
        <v>42</v>
      </c>
      <c r="I24" s="26" t="s">
        <v>29</v>
      </c>
      <c r="J24" s="14"/>
      <c r="K24" s="14" t="str">
        <f>"62,5"</f>
        <v>62,5</v>
      </c>
      <c r="L24" s="14" t="str">
        <f>"90,0750"</f>
        <v>90,0750</v>
      </c>
      <c r="M24" s="13" t="s">
        <v>652</v>
      </c>
    </row>
    <row r="25" spans="1:13">
      <c r="B25" s="5" t="s">
        <v>204</v>
      </c>
    </row>
    <row r="26" spans="1:13" ht="16">
      <c r="A26" s="80" t="s">
        <v>79</v>
      </c>
      <c r="B26" s="80"/>
      <c r="C26" s="80"/>
      <c r="D26" s="80"/>
      <c r="E26" s="80"/>
      <c r="F26" s="80"/>
      <c r="G26" s="80"/>
      <c r="H26" s="80"/>
      <c r="I26" s="80"/>
      <c r="J26" s="80"/>
    </row>
    <row r="27" spans="1:13">
      <c r="A27" s="14" t="s">
        <v>202</v>
      </c>
      <c r="B27" s="13" t="s">
        <v>326</v>
      </c>
      <c r="C27" s="13" t="s">
        <v>555</v>
      </c>
      <c r="D27" s="13" t="s">
        <v>327</v>
      </c>
      <c r="E27" s="13" t="s">
        <v>660</v>
      </c>
      <c r="F27" s="13" t="s">
        <v>588</v>
      </c>
      <c r="G27" s="27" t="s">
        <v>40</v>
      </c>
      <c r="H27" s="27" t="s">
        <v>41</v>
      </c>
      <c r="I27" s="26" t="s">
        <v>245</v>
      </c>
      <c r="J27" s="14"/>
      <c r="K27" s="14" t="str">
        <f>"82,5"</f>
        <v>82,5</v>
      </c>
      <c r="L27" s="14" t="str">
        <f>"113,5035"</f>
        <v>113,5035</v>
      </c>
      <c r="M27" s="13" t="s">
        <v>652</v>
      </c>
    </row>
    <row r="28" spans="1:13">
      <c r="B28" s="5" t="s">
        <v>204</v>
      </c>
    </row>
    <row r="29" spans="1:13" ht="16">
      <c r="A29" s="80" t="s">
        <v>108</v>
      </c>
      <c r="B29" s="80"/>
      <c r="C29" s="80"/>
      <c r="D29" s="80"/>
      <c r="E29" s="80"/>
      <c r="F29" s="80"/>
      <c r="G29" s="80"/>
      <c r="H29" s="80"/>
      <c r="I29" s="80"/>
      <c r="J29" s="80"/>
    </row>
    <row r="30" spans="1:13">
      <c r="A30" s="8" t="s">
        <v>202</v>
      </c>
      <c r="B30" s="7" t="s">
        <v>328</v>
      </c>
      <c r="C30" s="7" t="s">
        <v>329</v>
      </c>
      <c r="D30" s="7" t="s">
        <v>330</v>
      </c>
      <c r="E30" s="7" t="s">
        <v>657</v>
      </c>
      <c r="F30" s="7" t="s">
        <v>331</v>
      </c>
      <c r="G30" s="21" t="s">
        <v>68</v>
      </c>
      <c r="H30" s="21" t="s">
        <v>62</v>
      </c>
      <c r="I30" s="21" t="s">
        <v>96</v>
      </c>
      <c r="J30" s="8"/>
      <c r="K30" s="8" t="str">
        <f>"135,0"</f>
        <v>135,0</v>
      </c>
      <c r="L30" s="8" t="str">
        <f>"152,6040"</f>
        <v>152,6040</v>
      </c>
      <c r="M30" s="7" t="s">
        <v>652</v>
      </c>
    </row>
    <row r="31" spans="1:13">
      <c r="A31" s="10" t="s">
        <v>203</v>
      </c>
      <c r="B31" s="9" t="s">
        <v>332</v>
      </c>
      <c r="C31" s="9" t="s">
        <v>333</v>
      </c>
      <c r="D31" s="9" t="s">
        <v>334</v>
      </c>
      <c r="E31" s="9" t="s">
        <v>657</v>
      </c>
      <c r="F31" s="9" t="s">
        <v>77</v>
      </c>
      <c r="G31" s="22" t="s">
        <v>104</v>
      </c>
      <c r="H31" s="22" t="s">
        <v>96</v>
      </c>
      <c r="I31" s="23" t="s">
        <v>87</v>
      </c>
      <c r="J31" s="10"/>
      <c r="K31" s="10" t="str">
        <f>"135,0"</f>
        <v>135,0</v>
      </c>
      <c r="L31" s="10" t="str">
        <f>"150,7950"</f>
        <v>150,7950</v>
      </c>
      <c r="M31" s="9" t="s">
        <v>652</v>
      </c>
    </row>
    <row r="32" spans="1:13">
      <c r="A32" s="10" t="s">
        <v>205</v>
      </c>
      <c r="B32" s="9" t="s">
        <v>335</v>
      </c>
      <c r="C32" s="9" t="s">
        <v>336</v>
      </c>
      <c r="D32" s="9" t="s">
        <v>337</v>
      </c>
      <c r="E32" s="9" t="s">
        <v>657</v>
      </c>
      <c r="F32" s="9" t="s">
        <v>66</v>
      </c>
      <c r="G32" s="22" t="s">
        <v>55</v>
      </c>
      <c r="H32" s="22" t="s">
        <v>61</v>
      </c>
      <c r="I32" s="23" t="s">
        <v>62</v>
      </c>
      <c r="J32" s="10"/>
      <c r="K32" s="10" t="str">
        <f>"122,5"</f>
        <v>122,5</v>
      </c>
      <c r="L32" s="10" t="str">
        <f>"138,2780"</f>
        <v>138,2780</v>
      </c>
      <c r="M32" s="9" t="s">
        <v>51</v>
      </c>
    </row>
    <row r="33" spans="1:13">
      <c r="A33" s="12" t="s">
        <v>202</v>
      </c>
      <c r="B33" s="11" t="s">
        <v>114</v>
      </c>
      <c r="C33" s="11" t="s">
        <v>629</v>
      </c>
      <c r="D33" s="11" t="s">
        <v>115</v>
      </c>
      <c r="E33" s="11" t="s">
        <v>661</v>
      </c>
      <c r="F33" s="11" t="s">
        <v>66</v>
      </c>
      <c r="G33" s="24" t="s">
        <v>22</v>
      </c>
      <c r="H33" s="24" t="s">
        <v>67</v>
      </c>
      <c r="I33" s="25" t="s">
        <v>55</v>
      </c>
      <c r="J33" s="12"/>
      <c r="K33" s="12" t="str">
        <f>"112,5"</f>
        <v>112,5</v>
      </c>
      <c r="L33" s="12" t="str">
        <f>"138,9084"</f>
        <v>138,9084</v>
      </c>
      <c r="M33" s="11" t="s">
        <v>51</v>
      </c>
    </row>
    <row r="34" spans="1:13">
      <c r="B34" s="5" t="s">
        <v>204</v>
      </c>
    </row>
    <row r="35" spans="1:13" ht="16">
      <c r="A35" s="80" t="s">
        <v>123</v>
      </c>
      <c r="B35" s="80"/>
      <c r="C35" s="80"/>
      <c r="D35" s="80"/>
      <c r="E35" s="80"/>
      <c r="F35" s="80"/>
      <c r="G35" s="80"/>
      <c r="H35" s="80"/>
      <c r="I35" s="80"/>
      <c r="J35" s="80"/>
    </row>
    <row r="36" spans="1:13">
      <c r="A36" s="8" t="s">
        <v>202</v>
      </c>
      <c r="B36" s="7" t="s">
        <v>266</v>
      </c>
      <c r="C36" s="7" t="s">
        <v>554</v>
      </c>
      <c r="D36" s="7" t="s">
        <v>268</v>
      </c>
      <c r="E36" s="7" t="s">
        <v>660</v>
      </c>
      <c r="F36" s="33" t="s">
        <v>77</v>
      </c>
      <c r="G36" s="38" t="s">
        <v>68</v>
      </c>
      <c r="H36" s="21" t="s">
        <v>86</v>
      </c>
      <c r="I36" s="54" t="s">
        <v>96</v>
      </c>
      <c r="J36" s="41"/>
      <c r="K36" s="8" t="str">
        <f>"130,0"</f>
        <v>130,0</v>
      </c>
      <c r="L36" s="8" t="str">
        <f>"139,2040"</f>
        <v>139,2040</v>
      </c>
      <c r="M36" s="7" t="s">
        <v>239</v>
      </c>
    </row>
    <row r="37" spans="1:13">
      <c r="A37" s="10" t="s">
        <v>202</v>
      </c>
      <c r="B37" s="9" t="s">
        <v>266</v>
      </c>
      <c r="C37" s="9" t="s">
        <v>267</v>
      </c>
      <c r="D37" s="9" t="s">
        <v>268</v>
      </c>
      <c r="E37" s="9" t="s">
        <v>657</v>
      </c>
      <c r="F37" s="70" t="s">
        <v>77</v>
      </c>
      <c r="G37" s="55" t="s">
        <v>68</v>
      </c>
      <c r="H37" s="22" t="s">
        <v>86</v>
      </c>
      <c r="I37" s="56" t="s">
        <v>96</v>
      </c>
      <c r="J37" s="53"/>
      <c r="K37" s="10" t="str">
        <f>"130,0"</f>
        <v>130,0</v>
      </c>
      <c r="L37" s="10" t="str">
        <f>"139,2040"</f>
        <v>139,2040</v>
      </c>
      <c r="M37" s="9" t="s">
        <v>239</v>
      </c>
    </row>
    <row r="38" spans="1:13">
      <c r="A38" s="12" t="s">
        <v>202</v>
      </c>
      <c r="B38" s="11" t="s">
        <v>338</v>
      </c>
      <c r="C38" s="11" t="s">
        <v>631</v>
      </c>
      <c r="D38" s="11" t="s">
        <v>134</v>
      </c>
      <c r="E38" s="11" t="s">
        <v>658</v>
      </c>
      <c r="F38" s="34" t="s">
        <v>306</v>
      </c>
      <c r="G38" s="42" t="s">
        <v>87</v>
      </c>
      <c r="H38" s="24" t="s">
        <v>120</v>
      </c>
      <c r="I38" s="58" t="s">
        <v>143</v>
      </c>
      <c r="J38" s="45"/>
      <c r="K38" s="12" t="str">
        <f>"145,0"</f>
        <v>145,0</v>
      </c>
      <c r="L38" s="12" t="str">
        <f>"151,9620"</f>
        <v>151,9620</v>
      </c>
      <c r="M38" s="11" t="s">
        <v>652</v>
      </c>
    </row>
    <row r="39" spans="1:13">
      <c r="B39" s="5" t="s">
        <v>204</v>
      </c>
    </row>
    <row r="40" spans="1:13" ht="16">
      <c r="A40" s="80" t="s">
        <v>137</v>
      </c>
      <c r="B40" s="80"/>
      <c r="C40" s="80"/>
      <c r="D40" s="80"/>
      <c r="E40" s="80"/>
      <c r="F40" s="80"/>
      <c r="G40" s="80"/>
      <c r="H40" s="80"/>
      <c r="I40" s="80"/>
      <c r="J40" s="80"/>
    </row>
    <row r="41" spans="1:13">
      <c r="A41" s="8" t="s">
        <v>202</v>
      </c>
      <c r="B41" s="7" t="s">
        <v>339</v>
      </c>
      <c r="C41" s="7" t="s">
        <v>340</v>
      </c>
      <c r="D41" s="7" t="s">
        <v>341</v>
      </c>
      <c r="E41" s="7" t="s">
        <v>657</v>
      </c>
      <c r="F41" s="7" t="s">
        <v>66</v>
      </c>
      <c r="G41" s="21" t="s">
        <v>171</v>
      </c>
      <c r="H41" s="20" t="s">
        <v>127</v>
      </c>
      <c r="I41" s="20" t="s">
        <v>342</v>
      </c>
      <c r="J41" s="8"/>
      <c r="K41" s="8" t="str">
        <f>"177,5"</f>
        <v>177,5</v>
      </c>
      <c r="L41" s="8" t="str">
        <f>"172,3880"</f>
        <v>172,3880</v>
      </c>
      <c r="M41" s="7" t="s">
        <v>51</v>
      </c>
    </row>
    <row r="42" spans="1:13">
      <c r="A42" s="10" t="s">
        <v>203</v>
      </c>
      <c r="B42" s="9" t="s">
        <v>343</v>
      </c>
      <c r="C42" s="9" t="s">
        <v>344</v>
      </c>
      <c r="D42" s="9" t="s">
        <v>345</v>
      </c>
      <c r="E42" s="9" t="s">
        <v>657</v>
      </c>
      <c r="F42" s="9" t="s">
        <v>346</v>
      </c>
      <c r="G42" s="22" t="s">
        <v>87</v>
      </c>
      <c r="H42" s="22" t="s">
        <v>143</v>
      </c>
      <c r="I42" s="22" t="s">
        <v>121</v>
      </c>
      <c r="J42" s="10"/>
      <c r="K42" s="10" t="str">
        <f>"152,5"</f>
        <v>152,5</v>
      </c>
      <c r="L42" s="10" t="str">
        <f>"149,1755"</f>
        <v>149,1755</v>
      </c>
      <c r="M42" s="9" t="s">
        <v>591</v>
      </c>
    </row>
    <row r="43" spans="1:13">
      <c r="A43" s="10" t="s">
        <v>205</v>
      </c>
      <c r="B43" s="9" t="s">
        <v>347</v>
      </c>
      <c r="C43" s="9" t="s">
        <v>348</v>
      </c>
      <c r="D43" s="9" t="s">
        <v>349</v>
      </c>
      <c r="E43" s="9" t="s">
        <v>657</v>
      </c>
      <c r="F43" s="9" t="s">
        <v>350</v>
      </c>
      <c r="G43" s="22" t="s">
        <v>120</v>
      </c>
      <c r="H43" s="22" t="s">
        <v>121</v>
      </c>
      <c r="I43" s="23" t="s">
        <v>136</v>
      </c>
      <c r="J43" s="10"/>
      <c r="K43" s="10" t="str">
        <f>"152,5"</f>
        <v>152,5</v>
      </c>
      <c r="L43" s="10" t="str">
        <f>"148,3520"</f>
        <v>148,3520</v>
      </c>
      <c r="M43" s="9" t="s">
        <v>652</v>
      </c>
    </row>
    <row r="44" spans="1:13">
      <c r="A44" s="12" t="s">
        <v>202</v>
      </c>
      <c r="B44" s="11" t="s">
        <v>351</v>
      </c>
      <c r="C44" s="11" t="s">
        <v>632</v>
      </c>
      <c r="D44" s="11" t="s">
        <v>345</v>
      </c>
      <c r="E44" s="11" t="s">
        <v>661</v>
      </c>
      <c r="F44" s="11" t="s">
        <v>77</v>
      </c>
      <c r="G44" s="24" t="s">
        <v>121</v>
      </c>
      <c r="H44" s="24" t="s">
        <v>136</v>
      </c>
      <c r="I44" s="25" t="s">
        <v>116</v>
      </c>
      <c r="J44" s="12"/>
      <c r="K44" s="12" t="str">
        <f>"155,0"</f>
        <v>155,0</v>
      </c>
      <c r="L44" s="12" t="str">
        <f>"163,4474"</f>
        <v>163,4474</v>
      </c>
      <c r="M44" s="11" t="s">
        <v>592</v>
      </c>
    </row>
    <row r="45" spans="1:13">
      <c r="B45" s="5" t="s">
        <v>204</v>
      </c>
    </row>
    <row r="46" spans="1:13" ht="16">
      <c r="A46" s="80" t="s">
        <v>167</v>
      </c>
      <c r="B46" s="80"/>
      <c r="C46" s="80"/>
      <c r="D46" s="80"/>
      <c r="E46" s="80"/>
      <c r="F46" s="80"/>
      <c r="G46" s="80"/>
      <c r="H46" s="80"/>
      <c r="I46" s="80"/>
      <c r="J46" s="80"/>
    </row>
    <row r="47" spans="1:13">
      <c r="A47" s="8" t="s">
        <v>202</v>
      </c>
      <c r="B47" s="7" t="s">
        <v>352</v>
      </c>
      <c r="C47" s="7" t="s">
        <v>556</v>
      </c>
      <c r="D47" s="7" t="s">
        <v>353</v>
      </c>
      <c r="E47" s="7" t="s">
        <v>660</v>
      </c>
      <c r="F47" s="7" t="s">
        <v>331</v>
      </c>
      <c r="G47" s="21" t="s">
        <v>68</v>
      </c>
      <c r="H47" s="20" t="s">
        <v>86</v>
      </c>
      <c r="I47" s="20" t="s">
        <v>86</v>
      </c>
      <c r="J47" s="8"/>
      <c r="K47" s="8" t="str">
        <f>"120,0"</f>
        <v>120,0</v>
      </c>
      <c r="L47" s="8" t="str">
        <f>"109,8480"</f>
        <v>109,8480</v>
      </c>
      <c r="M47" s="7" t="s">
        <v>593</v>
      </c>
    </row>
    <row r="48" spans="1:13">
      <c r="A48" s="10" t="s">
        <v>202</v>
      </c>
      <c r="B48" s="9" t="s">
        <v>354</v>
      </c>
      <c r="C48" s="9" t="s">
        <v>355</v>
      </c>
      <c r="D48" s="9" t="s">
        <v>356</v>
      </c>
      <c r="E48" s="9" t="s">
        <v>657</v>
      </c>
      <c r="F48" s="9" t="s">
        <v>77</v>
      </c>
      <c r="G48" s="22" t="s">
        <v>128</v>
      </c>
      <c r="H48" s="23" t="s">
        <v>107</v>
      </c>
      <c r="I48" s="22" t="s">
        <v>107</v>
      </c>
      <c r="J48" s="10"/>
      <c r="K48" s="10" t="str">
        <f>"205,0"</f>
        <v>205,0</v>
      </c>
      <c r="L48" s="10" t="str">
        <f>"196,1440"</f>
        <v>196,1440</v>
      </c>
      <c r="M48" s="9" t="s">
        <v>357</v>
      </c>
    </row>
    <row r="49" spans="1:13">
      <c r="A49" s="10" t="s">
        <v>203</v>
      </c>
      <c r="B49" s="9" t="s">
        <v>358</v>
      </c>
      <c r="C49" s="9" t="s">
        <v>359</v>
      </c>
      <c r="D49" s="9" t="s">
        <v>360</v>
      </c>
      <c r="E49" s="9" t="s">
        <v>657</v>
      </c>
      <c r="F49" s="9" t="s">
        <v>288</v>
      </c>
      <c r="G49" s="23" t="s">
        <v>96</v>
      </c>
      <c r="H49" s="23" t="s">
        <v>87</v>
      </c>
      <c r="I49" s="22" t="s">
        <v>87</v>
      </c>
      <c r="J49" s="10"/>
      <c r="K49" s="10" t="str">
        <f>"140,0"</f>
        <v>140,0</v>
      </c>
      <c r="L49" s="10" t="str">
        <f>"128,9960"</f>
        <v>128,9960</v>
      </c>
      <c r="M49" s="9" t="s">
        <v>652</v>
      </c>
    </row>
    <row r="50" spans="1:13">
      <c r="A50" s="12" t="s">
        <v>202</v>
      </c>
      <c r="B50" s="11" t="s">
        <v>361</v>
      </c>
      <c r="C50" s="11" t="s">
        <v>633</v>
      </c>
      <c r="D50" s="11" t="s">
        <v>362</v>
      </c>
      <c r="E50" s="11" t="s">
        <v>661</v>
      </c>
      <c r="F50" s="11" t="s">
        <v>363</v>
      </c>
      <c r="G50" s="24" t="s">
        <v>96</v>
      </c>
      <c r="H50" s="24" t="s">
        <v>87</v>
      </c>
      <c r="I50" s="24" t="s">
        <v>120</v>
      </c>
      <c r="J50" s="12"/>
      <c r="K50" s="12" t="str">
        <f>"145,0"</f>
        <v>145,0</v>
      </c>
      <c r="L50" s="12" t="str">
        <f>"146,9374"</f>
        <v>146,9374</v>
      </c>
      <c r="M50" s="11" t="s">
        <v>652</v>
      </c>
    </row>
    <row r="51" spans="1:13">
      <c r="B51" s="5" t="s">
        <v>204</v>
      </c>
    </row>
    <row r="52" spans="1:13" ht="16">
      <c r="A52" s="80" t="s">
        <v>173</v>
      </c>
      <c r="B52" s="80"/>
      <c r="C52" s="80"/>
      <c r="D52" s="80"/>
      <c r="E52" s="80"/>
      <c r="F52" s="80"/>
      <c r="G52" s="80"/>
      <c r="H52" s="80"/>
      <c r="I52" s="80"/>
      <c r="J52" s="80"/>
    </row>
    <row r="53" spans="1:13">
      <c r="A53" s="8" t="s">
        <v>202</v>
      </c>
      <c r="B53" s="7" t="s">
        <v>364</v>
      </c>
      <c r="C53" s="7" t="s">
        <v>365</v>
      </c>
      <c r="D53" s="7" t="s">
        <v>366</v>
      </c>
      <c r="E53" s="7" t="s">
        <v>657</v>
      </c>
      <c r="F53" s="7" t="s">
        <v>589</v>
      </c>
      <c r="G53" s="21" t="s">
        <v>122</v>
      </c>
      <c r="H53" s="20" t="s">
        <v>265</v>
      </c>
      <c r="I53" s="20" t="s">
        <v>265</v>
      </c>
      <c r="J53" s="8"/>
      <c r="K53" s="8" t="str">
        <f>"160,0"</f>
        <v>160,0</v>
      </c>
      <c r="L53" s="8" t="str">
        <f>"142,4320"</f>
        <v>142,4320</v>
      </c>
      <c r="M53" s="7" t="s">
        <v>594</v>
      </c>
    </row>
    <row r="54" spans="1:13">
      <c r="A54" s="10" t="s">
        <v>203</v>
      </c>
      <c r="B54" s="9" t="s">
        <v>367</v>
      </c>
      <c r="C54" s="9" t="s">
        <v>368</v>
      </c>
      <c r="D54" s="9" t="s">
        <v>274</v>
      </c>
      <c r="E54" s="9" t="s">
        <v>657</v>
      </c>
      <c r="F54" s="9" t="s">
        <v>369</v>
      </c>
      <c r="G54" s="22" t="s">
        <v>143</v>
      </c>
      <c r="H54" s="22" t="s">
        <v>97</v>
      </c>
      <c r="I54" s="23" t="s">
        <v>121</v>
      </c>
      <c r="J54" s="10"/>
      <c r="K54" s="10" t="str">
        <f>"150,0"</f>
        <v>150,0</v>
      </c>
      <c r="L54" s="10" t="str">
        <f>"135,0300"</f>
        <v>135,0300</v>
      </c>
      <c r="M54" s="9" t="s">
        <v>370</v>
      </c>
    </row>
    <row r="55" spans="1:13">
      <c r="A55" s="12" t="s">
        <v>202</v>
      </c>
      <c r="B55" s="11" t="s">
        <v>364</v>
      </c>
      <c r="C55" s="11" t="s">
        <v>634</v>
      </c>
      <c r="D55" s="11" t="s">
        <v>366</v>
      </c>
      <c r="E55" s="11" t="s">
        <v>661</v>
      </c>
      <c r="F55" s="11" t="s">
        <v>589</v>
      </c>
      <c r="G55" s="24" t="s">
        <v>122</v>
      </c>
      <c r="H55" s="25" t="s">
        <v>265</v>
      </c>
      <c r="I55" s="25" t="s">
        <v>265</v>
      </c>
      <c r="J55" s="12"/>
      <c r="K55" s="12" t="str">
        <f>"160,0"</f>
        <v>160,0</v>
      </c>
      <c r="L55" s="12" t="str">
        <f>"161,2330"</f>
        <v>161,2330</v>
      </c>
      <c r="M55" s="11" t="s">
        <v>594</v>
      </c>
    </row>
    <row r="56" spans="1:13">
      <c r="B56" s="5" t="s">
        <v>204</v>
      </c>
    </row>
    <row r="57" spans="1:13" ht="16">
      <c r="A57" s="80" t="s">
        <v>314</v>
      </c>
      <c r="B57" s="80"/>
      <c r="C57" s="80"/>
      <c r="D57" s="80"/>
      <c r="E57" s="80"/>
      <c r="F57" s="80"/>
      <c r="G57" s="80"/>
      <c r="H57" s="80"/>
      <c r="I57" s="80"/>
      <c r="J57" s="80"/>
    </row>
    <row r="58" spans="1:13">
      <c r="A58" s="14" t="s">
        <v>202</v>
      </c>
      <c r="B58" s="13" t="s">
        <v>371</v>
      </c>
      <c r="C58" s="13" t="s">
        <v>635</v>
      </c>
      <c r="D58" s="13" t="s">
        <v>372</v>
      </c>
      <c r="E58" s="13" t="s">
        <v>665</v>
      </c>
      <c r="F58" s="13" t="s">
        <v>77</v>
      </c>
      <c r="G58" s="27" t="s">
        <v>99</v>
      </c>
      <c r="H58" s="27" t="s">
        <v>228</v>
      </c>
      <c r="I58" s="26" t="s">
        <v>166</v>
      </c>
      <c r="J58" s="14"/>
      <c r="K58" s="14" t="str">
        <f>"175,0"</f>
        <v>175,0</v>
      </c>
      <c r="L58" s="14" t="str">
        <f>"192,7018"</f>
        <v>192,7018</v>
      </c>
      <c r="M58" s="13" t="s">
        <v>652</v>
      </c>
    </row>
    <row r="59" spans="1:13">
      <c r="B59" s="5" t="s">
        <v>204</v>
      </c>
    </row>
    <row r="62" spans="1:13" ht="18">
      <c r="B62" s="15" t="s">
        <v>177</v>
      </c>
      <c r="C62" s="15"/>
    </row>
    <row r="63" spans="1:13" ht="16">
      <c r="B63" s="16" t="s">
        <v>178</v>
      </c>
      <c r="C63" s="16"/>
    </row>
    <row r="64" spans="1:13" ht="14">
      <c r="B64" s="17"/>
      <c r="C64" s="18" t="s">
        <v>184</v>
      </c>
    </row>
    <row r="65" spans="2:6" ht="14">
      <c r="B65" s="19" t="s">
        <v>179</v>
      </c>
      <c r="C65" s="19" t="s">
        <v>180</v>
      </c>
      <c r="D65" s="19" t="s">
        <v>577</v>
      </c>
      <c r="E65" s="19" t="s">
        <v>318</v>
      </c>
      <c r="F65" s="19" t="s">
        <v>182</v>
      </c>
    </row>
    <row r="66" spans="2:6">
      <c r="B66" s="5" t="s">
        <v>242</v>
      </c>
      <c r="C66" s="5" t="s">
        <v>184</v>
      </c>
      <c r="D66" s="6" t="s">
        <v>279</v>
      </c>
      <c r="E66" s="6" t="s">
        <v>78</v>
      </c>
      <c r="F66" s="6" t="s">
        <v>373</v>
      </c>
    </row>
    <row r="67" spans="2:6">
      <c r="B67" s="5" t="s">
        <v>320</v>
      </c>
      <c r="C67" s="5" t="s">
        <v>184</v>
      </c>
      <c r="D67" s="6" t="s">
        <v>185</v>
      </c>
      <c r="E67" s="6" t="s">
        <v>42</v>
      </c>
      <c r="F67" s="6" t="s">
        <v>374</v>
      </c>
    </row>
    <row r="68" spans="2:6">
      <c r="B68" s="5" t="s">
        <v>323</v>
      </c>
      <c r="C68" s="5" t="s">
        <v>184</v>
      </c>
      <c r="D68" s="6" t="s">
        <v>194</v>
      </c>
      <c r="E68" s="6" t="s">
        <v>42</v>
      </c>
      <c r="F68" s="6" t="s">
        <v>375</v>
      </c>
    </row>
    <row r="71" spans="2:6" ht="16">
      <c r="B71" s="16" t="s">
        <v>192</v>
      </c>
      <c r="C71" s="16"/>
    </row>
    <row r="72" spans="2:6" ht="14">
      <c r="B72" s="17"/>
      <c r="C72" s="18" t="s">
        <v>184</v>
      </c>
    </row>
    <row r="73" spans="2:6" ht="14">
      <c r="B73" s="19" t="s">
        <v>179</v>
      </c>
      <c r="C73" s="19" t="s">
        <v>180</v>
      </c>
      <c r="D73" s="19" t="s">
        <v>577</v>
      </c>
      <c r="E73" s="19" t="s">
        <v>318</v>
      </c>
      <c r="F73" s="19" t="s">
        <v>182</v>
      </c>
    </row>
    <row r="74" spans="2:6">
      <c r="B74" s="5" t="s">
        <v>354</v>
      </c>
      <c r="C74" s="5" t="s">
        <v>184</v>
      </c>
      <c r="D74" s="6" t="s">
        <v>193</v>
      </c>
      <c r="E74" s="6" t="s">
        <v>107</v>
      </c>
      <c r="F74" s="6" t="s">
        <v>376</v>
      </c>
    </row>
    <row r="75" spans="2:6">
      <c r="B75" s="5" t="s">
        <v>339</v>
      </c>
      <c r="C75" s="5" t="s">
        <v>184</v>
      </c>
      <c r="D75" s="6" t="s">
        <v>194</v>
      </c>
      <c r="E75" s="6" t="s">
        <v>171</v>
      </c>
      <c r="F75" s="6" t="s">
        <v>377</v>
      </c>
    </row>
    <row r="76" spans="2:6">
      <c r="B76" s="5" t="s">
        <v>328</v>
      </c>
      <c r="C76" s="5" t="s">
        <v>184</v>
      </c>
      <c r="D76" s="6" t="s">
        <v>240</v>
      </c>
      <c r="E76" s="6" t="s">
        <v>96</v>
      </c>
      <c r="F76" s="6" t="s">
        <v>378</v>
      </c>
    </row>
    <row r="77" spans="2:6">
      <c r="B77" s="5" t="s">
        <v>204</v>
      </c>
    </row>
  </sheetData>
  <mergeCells count="23">
    <mergeCell ref="A1:M2"/>
    <mergeCell ref="A3:A4"/>
    <mergeCell ref="C3:C4"/>
    <mergeCell ref="D3:D4"/>
    <mergeCell ref="E3:E4"/>
    <mergeCell ref="F3:F4"/>
    <mergeCell ref="G3:J3"/>
    <mergeCell ref="A26:J26"/>
    <mergeCell ref="A29:J29"/>
    <mergeCell ref="K3:K4"/>
    <mergeCell ref="L3:L4"/>
    <mergeCell ref="M3:M4"/>
    <mergeCell ref="A5:J5"/>
    <mergeCell ref="B3:B4"/>
    <mergeCell ref="A9:J9"/>
    <mergeCell ref="A13:J13"/>
    <mergeCell ref="A20:J20"/>
    <mergeCell ref="A23:J23"/>
    <mergeCell ref="A35:J35"/>
    <mergeCell ref="A40:J40"/>
    <mergeCell ref="A46:J46"/>
    <mergeCell ref="A52:J52"/>
    <mergeCell ref="A57:J5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M28"/>
  <sheetViews>
    <sheetView workbookViewId="0">
      <selection activeCell="E28" sqref="E28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87" t="s">
        <v>615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10</v>
      </c>
      <c r="H3" s="83"/>
      <c r="I3" s="83"/>
      <c r="J3" s="83"/>
      <c r="K3" s="83" t="s">
        <v>319</v>
      </c>
      <c r="L3" s="83" t="s">
        <v>3</v>
      </c>
      <c r="M3" s="98" t="s">
        <v>2</v>
      </c>
    </row>
    <row r="4" spans="1:13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84"/>
      <c r="L4" s="84"/>
      <c r="M4" s="99"/>
    </row>
    <row r="5" spans="1:13" ht="16">
      <c r="A5" s="81" t="s">
        <v>247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14" t="s">
        <v>202</v>
      </c>
      <c r="B6" s="13" t="s">
        <v>297</v>
      </c>
      <c r="C6" s="13" t="s">
        <v>557</v>
      </c>
      <c r="D6" s="13" t="s">
        <v>298</v>
      </c>
      <c r="E6" s="13" t="s">
        <v>666</v>
      </c>
      <c r="F6" s="13" t="s">
        <v>299</v>
      </c>
      <c r="G6" s="27" t="s">
        <v>300</v>
      </c>
      <c r="H6" s="27" t="s">
        <v>255</v>
      </c>
      <c r="I6" s="26" t="s">
        <v>30</v>
      </c>
      <c r="J6" s="14"/>
      <c r="K6" s="14" t="str">
        <f>"30,0"</f>
        <v>30,0</v>
      </c>
      <c r="L6" s="14" t="str">
        <f>"58,6500"</f>
        <v>58,6500</v>
      </c>
      <c r="M6" s="13" t="s">
        <v>595</v>
      </c>
    </row>
    <row r="7" spans="1:13">
      <c r="B7" s="5" t="s">
        <v>204</v>
      </c>
    </row>
    <row r="8" spans="1:13" ht="16">
      <c r="A8" s="80" t="s">
        <v>79</v>
      </c>
      <c r="B8" s="80"/>
      <c r="C8" s="80"/>
      <c r="D8" s="80"/>
      <c r="E8" s="80"/>
      <c r="F8" s="80"/>
      <c r="G8" s="80"/>
      <c r="H8" s="80"/>
      <c r="I8" s="80"/>
      <c r="J8" s="80"/>
    </row>
    <row r="9" spans="1:13">
      <c r="A9" s="14" t="s">
        <v>202</v>
      </c>
      <c r="B9" s="13" t="s">
        <v>215</v>
      </c>
      <c r="C9" s="13" t="s">
        <v>216</v>
      </c>
      <c r="D9" s="13" t="s">
        <v>217</v>
      </c>
      <c r="E9" s="13" t="s">
        <v>657</v>
      </c>
      <c r="F9" s="13" t="s">
        <v>77</v>
      </c>
      <c r="G9" s="27" t="s">
        <v>68</v>
      </c>
      <c r="H9" s="27" t="s">
        <v>104</v>
      </c>
      <c r="I9" s="26" t="s">
        <v>62</v>
      </c>
      <c r="J9" s="14"/>
      <c r="K9" s="14" t="str">
        <f>"125,0"</f>
        <v>125,0</v>
      </c>
      <c r="L9" s="14" t="str">
        <f>"155,3500"</f>
        <v>155,3500</v>
      </c>
      <c r="M9" s="13" t="s">
        <v>652</v>
      </c>
    </row>
    <row r="10" spans="1:13">
      <c r="B10" s="5" t="s">
        <v>204</v>
      </c>
    </row>
    <row r="11" spans="1:13" ht="16">
      <c r="A11" s="80" t="s">
        <v>108</v>
      </c>
      <c r="B11" s="80"/>
      <c r="C11" s="80"/>
      <c r="D11" s="80"/>
      <c r="E11" s="80"/>
      <c r="F11" s="80"/>
      <c r="G11" s="80"/>
      <c r="H11" s="80"/>
      <c r="I11" s="80"/>
      <c r="J11" s="80"/>
    </row>
    <row r="12" spans="1:13">
      <c r="A12" s="14" t="s">
        <v>202</v>
      </c>
      <c r="B12" s="13" t="s">
        <v>301</v>
      </c>
      <c r="C12" s="13" t="s">
        <v>558</v>
      </c>
      <c r="D12" s="13" t="s">
        <v>302</v>
      </c>
      <c r="E12" s="13" t="s">
        <v>658</v>
      </c>
      <c r="F12" s="13" t="s">
        <v>77</v>
      </c>
      <c r="G12" s="27" t="s">
        <v>17</v>
      </c>
      <c r="H12" s="26" t="s">
        <v>54</v>
      </c>
      <c r="I12" s="27" t="s">
        <v>246</v>
      </c>
      <c r="J12" s="14"/>
      <c r="K12" s="14" t="str">
        <f>"95,0"</f>
        <v>95,0</v>
      </c>
      <c r="L12" s="14" t="str">
        <f>"119,6904"</f>
        <v>119,6904</v>
      </c>
      <c r="M12" s="13" t="s">
        <v>652</v>
      </c>
    </row>
    <row r="13" spans="1:13">
      <c r="B13" s="5" t="s">
        <v>204</v>
      </c>
    </row>
    <row r="14" spans="1:13" ht="16">
      <c r="A14" s="80" t="s">
        <v>137</v>
      </c>
      <c r="B14" s="80"/>
      <c r="C14" s="80"/>
      <c r="D14" s="80"/>
      <c r="E14" s="80"/>
      <c r="F14" s="80"/>
      <c r="G14" s="80"/>
      <c r="H14" s="80"/>
      <c r="I14" s="80"/>
      <c r="J14" s="80"/>
    </row>
    <row r="15" spans="1:13">
      <c r="A15" s="14" t="s">
        <v>202</v>
      </c>
      <c r="B15" s="13" t="s">
        <v>303</v>
      </c>
      <c r="C15" s="13" t="s">
        <v>304</v>
      </c>
      <c r="D15" s="13" t="s">
        <v>305</v>
      </c>
      <c r="E15" s="13" t="s">
        <v>657</v>
      </c>
      <c r="F15" s="13" t="s">
        <v>306</v>
      </c>
      <c r="G15" s="27" t="s">
        <v>136</v>
      </c>
      <c r="H15" s="27" t="s">
        <v>122</v>
      </c>
      <c r="I15" s="27" t="s">
        <v>98</v>
      </c>
      <c r="J15" s="14"/>
      <c r="K15" s="14" t="str">
        <f>"165,0"</f>
        <v>165,0</v>
      </c>
      <c r="L15" s="14" t="str">
        <f>"163,2180"</f>
        <v>163,2180</v>
      </c>
      <c r="M15" s="13" t="s">
        <v>652</v>
      </c>
    </row>
    <row r="16" spans="1:13">
      <c r="B16" s="5" t="s">
        <v>204</v>
      </c>
    </row>
    <row r="17" spans="1:13" ht="16">
      <c r="A17" s="80" t="s">
        <v>167</v>
      </c>
      <c r="B17" s="80"/>
      <c r="C17" s="80"/>
      <c r="D17" s="80"/>
      <c r="E17" s="80"/>
      <c r="F17" s="80"/>
      <c r="G17" s="80"/>
      <c r="H17" s="80"/>
      <c r="I17" s="80"/>
      <c r="J17" s="80"/>
    </row>
    <row r="18" spans="1:13">
      <c r="A18" s="14" t="s">
        <v>202</v>
      </c>
      <c r="B18" s="13" t="s">
        <v>307</v>
      </c>
      <c r="C18" s="13" t="s">
        <v>308</v>
      </c>
      <c r="D18" s="13" t="s">
        <v>309</v>
      </c>
      <c r="E18" s="13" t="s">
        <v>657</v>
      </c>
      <c r="F18" s="13" t="s">
        <v>77</v>
      </c>
      <c r="G18" s="26" t="s">
        <v>127</v>
      </c>
      <c r="H18" s="27" t="s">
        <v>127</v>
      </c>
      <c r="I18" s="26" t="s">
        <v>105</v>
      </c>
      <c r="J18" s="14"/>
      <c r="K18" s="14" t="str">
        <f>"185,0"</f>
        <v>185,0</v>
      </c>
      <c r="L18" s="14" t="str">
        <f>"169,7190"</f>
        <v>169,7190</v>
      </c>
      <c r="M18" s="13" t="s">
        <v>596</v>
      </c>
    </row>
    <row r="19" spans="1:13">
      <c r="B19" s="5" t="s">
        <v>204</v>
      </c>
    </row>
    <row r="20" spans="1:13" ht="16">
      <c r="A20" s="80" t="s">
        <v>173</v>
      </c>
      <c r="B20" s="80"/>
      <c r="C20" s="80"/>
      <c r="D20" s="80"/>
      <c r="E20" s="80"/>
      <c r="F20" s="80"/>
      <c r="G20" s="80"/>
      <c r="H20" s="80"/>
      <c r="I20" s="80"/>
      <c r="J20" s="80"/>
    </row>
    <row r="21" spans="1:13">
      <c r="A21" s="14" t="s">
        <v>202</v>
      </c>
      <c r="B21" s="13" t="s">
        <v>310</v>
      </c>
      <c r="C21" s="13" t="s">
        <v>559</v>
      </c>
      <c r="D21" s="13" t="s">
        <v>311</v>
      </c>
      <c r="E21" s="13" t="s">
        <v>660</v>
      </c>
      <c r="F21" s="13" t="s">
        <v>77</v>
      </c>
      <c r="G21" s="27" t="s">
        <v>122</v>
      </c>
      <c r="H21" s="27" t="s">
        <v>265</v>
      </c>
      <c r="I21" s="26" t="s">
        <v>228</v>
      </c>
      <c r="J21" s="14"/>
      <c r="K21" s="14" t="str">
        <f>"167,5"</f>
        <v>167,5</v>
      </c>
      <c r="L21" s="14" t="str">
        <f>"148,5725"</f>
        <v>148,5725</v>
      </c>
      <c r="M21" s="13" t="s">
        <v>593</v>
      </c>
    </row>
    <row r="22" spans="1:13">
      <c r="B22" s="5" t="s">
        <v>204</v>
      </c>
    </row>
    <row r="23" spans="1:13" ht="16">
      <c r="A23" s="80" t="s">
        <v>291</v>
      </c>
      <c r="B23" s="80"/>
      <c r="C23" s="80"/>
      <c r="D23" s="80"/>
      <c r="E23" s="80"/>
      <c r="F23" s="80"/>
      <c r="G23" s="80"/>
      <c r="H23" s="80"/>
      <c r="I23" s="80"/>
      <c r="J23" s="80"/>
    </row>
    <row r="24" spans="1:13">
      <c r="A24" s="14" t="s">
        <v>202</v>
      </c>
      <c r="B24" s="13" t="s">
        <v>312</v>
      </c>
      <c r="C24" s="13" t="s">
        <v>636</v>
      </c>
      <c r="D24" s="13" t="s">
        <v>313</v>
      </c>
      <c r="E24" s="13" t="s">
        <v>661</v>
      </c>
      <c r="F24" s="13" t="s">
        <v>597</v>
      </c>
      <c r="G24" s="27" t="s">
        <v>97</v>
      </c>
      <c r="H24" s="27" t="s">
        <v>113</v>
      </c>
      <c r="I24" s="27" t="s">
        <v>99</v>
      </c>
      <c r="J24" s="14"/>
      <c r="K24" s="14" t="str">
        <f>"170,0"</f>
        <v>170,0</v>
      </c>
      <c r="L24" s="14" t="str">
        <f>"163,0300"</f>
        <v>163,0300</v>
      </c>
      <c r="M24" s="13" t="s">
        <v>652</v>
      </c>
    </row>
    <row r="25" spans="1:13">
      <c r="B25" s="5" t="s">
        <v>204</v>
      </c>
    </row>
    <row r="26" spans="1:13" ht="16">
      <c r="A26" s="80" t="s">
        <v>314</v>
      </c>
      <c r="B26" s="80"/>
      <c r="C26" s="80"/>
      <c r="D26" s="80"/>
      <c r="E26" s="80"/>
      <c r="F26" s="80"/>
      <c r="G26" s="80"/>
      <c r="H26" s="80"/>
      <c r="I26" s="80"/>
      <c r="J26" s="80"/>
    </row>
    <row r="27" spans="1:13">
      <c r="A27" s="14" t="s">
        <v>202</v>
      </c>
      <c r="B27" s="13" t="s">
        <v>315</v>
      </c>
      <c r="C27" s="13" t="s">
        <v>316</v>
      </c>
      <c r="D27" s="13" t="s">
        <v>317</v>
      </c>
      <c r="E27" s="13" t="s">
        <v>657</v>
      </c>
      <c r="F27" s="13" t="s">
        <v>77</v>
      </c>
      <c r="G27" s="27" t="s">
        <v>166</v>
      </c>
      <c r="H27" s="26" t="s">
        <v>127</v>
      </c>
      <c r="I27" s="26" t="s">
        <v>127</v>
      </c>
      <c r="J27" s="14"/>
      <c r="K27" s="14" t="str">
        <f>"180,0"</f>
        <v>180,0</v>
      </c>
      <c r="L27" s="14" t="str">
        <f>"152,2800"</f>
        <v>152,2800</v>
      </c>
      <c r="M27" s="13" t="s">
        <v>652</v>
      </c>
    </row>
    <row r="28" spans="1:13">
      <c r="B28" s="5" t="s">
        <v>204</v>
      </c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6:J26"/>
    <mergeCell ref="B3:B4"/>
    <mergeCell ref="A8:J8"/>
    <mergeCell ref="A11:J11"/>
    <mergeCell ref="A14:J14"/>
    <mergeCell ref="A17:J17"/>
    <mergeCell ref="A20:J20"/>
    <mergeCell ref="A23:J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.1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87" t="s">
        <v>616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10</v>
      </c>
      <c r="H3" s="83"/>
      <c r="I3" s="83"/>
      <c r="J3" s="83"/>
      <c r="K3" s="83" t="s">
        <v>319</v>
      </c>
      <c r="L3" s="83" t="s">
        <v>3</v>
      </c>
      <c r="M3" s="98" t="s">
        <v>2</v>
      </c>
    </row>
    <row r="4" spans="1:13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84"/>
      <c r="L4" s="84"/>
      <c r="M4" s="99"/>
    </row>
    <row r="5" spans="1:13" ht="16">
      <c r="A5" s="81" t="s">
        <v>137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14" t="s">
        <v>202</v>
      </c>
      <c r="B6" s="13" t="s">
        <v>379</v>
      </c>
      <c r="C6" s="13" t="s">
        <v>380</v>
      </c>
      <c r="D6" s="13" t="s">
        <v>381</v>
      </c>
      <c r="E6" s="13" t="s">
        <v>657</v>
      </c>
      <c r="F6" s="13" t="s">
        <v>363</v>
      </c>
      <c r="G6" s="27" t="s">
        <v>107</v>
      </c>
      <c r="H6" s="26" t="s">
        <v>162</v>
      </c>
      <c r="I6" s="26" t="s">
        <v>162</v>
      </c>
      <c r="J6" s="14"/>
      <c r="K6" s="14" t="str">
        <f>"205,0"</f>
        <v>205,0</v>
      </c>
      <c r="L6" s="14" t="str">
        <f>"206,5580"</f>
        <v>206,5580</v>
      </c>
      <c r="M6" s="13" t="s">
        <v>382</v>
      </c>
    </row>
    <row r="7" spans="1:13">
      <c r="B7" s="5" t="s">
        <v>204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9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0.33203125" style="5" bestFit="1" customWidth="1"/>
    <col min="7" max="9" width="5.5" style="6" customWidth="1"/>
    <col min="10" max="10" width="4.83203125" style="6" customWidth="1"/>
    <col min="11" max="11" width="12.83203125" style="6" customWidth="1"/>
    <col min="12" max="12" width="8.5" style="6" bestFit="1" customWidth="1"/>
    <col min="13" max="13" width="20" style="5" customWidth="1"/>
    <col min="14" max="16384" width="9.1640625" style="3"/>
  </cols>
  <sheetData>
    <row r="1" spans="1:13" s="2" customFormat="1" ht="29" customHeight="1">
      <c r="A1" s="87" t="s">
        <v>617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10</v>
      </c>
      <c r="H3" s="83"/>
      <c r="I3" s="83"/>
      <c r="J3" s="83"/>
      <c r="K3" s="83" t="s">
        <v>319</v>
      </c>
      <c r="L3" s="83" t="s">
        <v>3</v>
      </c>
      <c r="M3" s="98" t="s">
        <v>2</v>
      </c>
    </row>
    <row r="4" spans="1:13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84"/>
      <c r="L4" s="84"/>
      <c r="M4" s="99"/>
    </row>
    <row r="5" spans="1:13" ht="16">
      <c r="A5" s="81" t="s">
        <v>247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14" t="s">
        <v>202</v>
      </c>
      <c r="B6" s="13" t="s">
        <v>512</v>
      </c>
      <c r="C6" s="13" t="s">
        <v>560</v>
      </c>
      <c r="D6" s="13" t="s">
        <v>513</v>
      </c>
      <c r="E6" s="13" t="s">
        <v>663</v>
      </c>
      <c r="F6" s="13" t="s">
        <v>419</v>
      </c>
      <c r="G6" s="27" t="s">
        <v>85</v>
      </c>
      <c r="H6" s="27" t="s">
        <v>50</v>
      </c>
      <c r="I6" s="26" t="s">
        <v>42</v>
      </c>
      <c r="J6" s="14"/>
      <c r="K6" s="14" t="str">
        <f>"60,0"</f>
        <v>60,0</v>
      </c>
      <c r="L6" s="14" t="str">
        <f>"67,2720"</f>
        <v>67,2720</v>
      </c>
      <c r="M6" s="13" t="s">
        <v>652</v>
      </c>
    </row>
    <row r="7" spans="1:13">
      <c r="B7" s="5" t="s">
        <v>204</v>
      </c>
    </row>
    <row r="8" spans="1:13" ht="16">
      <c r="A8" s="80" t="s">
        <v>56</v>
      </c>
      <c r="B8" s="80"/>
      <c r="C8" s="80"/>
      <c r="D8" s="80"/>
      <c r="E8" s="80"/>
      <c r="F8" s="80"/>
      <c r="G8" s="80"/>
      <c r="H8" s="80"/>
      <c r="I8" s="80"/>
      <c r="J8" s="80"/>
    </row>
    <row r="9" spans="1:13">
      <c r="A9" s="14" t="s">
        <v>202</v>
      </c>
      <c r="B9" s="13" t="s">
        <v>514</v>
      </c>
      <c r="C9" s="13" t="s">
        <v>561</v>
      </c>
      <c r="D9" s="13" t="s">
        <v>515</v>
      </c>
      <c r="E9" s="13" t="s">
        <v>658</v>
      </c>
      <c r="F9" s="13" t="s">
        <v>516</v>
      </c>
      <c r="G9" s="27" t="s">
        <v>246</v>
      </c>
      <c r="H9" s="27" t="s">
        <v>21</v>
      </c>
      <c r="I9" s="26" t="s">
        <v>91</v>
      </c>
      <c r="J9" s="14"/>
      <c r="K9" s="14" t="str">
        <f>"100,0"</f>
        <v>100,0</v>
      </c>
      <c r="L9" s="14" t="str">
        <f>"106,9068"</f>
        <v>106,9068</v>
      </c>
      <c r="M9" s="13" t="s">
        <v>652</v>
      </c>
    </row>
    <row r="10" spans="1:13">
      <c r="B10" s="5" t="s">
        <v>204</v>
      </c>
    </row>
    <row r="11" spans="1:13" ht="16">
      <c r="A11" s="80" t="s">
        <v>79</v>
      </c>
      <c r="B11" s="80"/>
      <c r="C11" s="80"/>
      <c r="D11" s="80"/>
      <c r="E11" s="80"/>
      <c r="F11" s="80"/>
      <c r="G11" s="80"/>
      <c r="H11" s="80"/>
      <c r="I11" s="80"/>
      <c r="J11" s="80"/>
    </row>
    <row r="12" spans="1:13">
      <c r="A12" s="14" t="s">
        <v>202</v>
      </c>
      <c r="B12" s="13" t="s">
        <v>517</v>
      </c>
      <c r="C12" s="13" t="s">
        <v>518</v>
      </c>
      <c r="D12" s="13" t="s">
        <v>479</v>
      </c>
      <c r="E12" s="13" t="s">
        <v>657</v>
      </c>
      <c r="F12" s="13" t="s">
        <v>214</v>
      </c>
      <c r="G12" s="27" t="s">
        <v>23</v>
      </c>
      <c r="H12" s="27" t="s">
        <v>68</v>
      </c>
      <c r="I12" s="26" t="s">
        <v>62</v>
      </c>
      <c r="J12" s="14"/>
      <c r="K12" s="14" t="str">
        <f>"120,0"</f>
        <v>120,0</v>
      </c>
      <c r="L12" s="14" t="str">
        <f>"90,9660"</f>
        <v>90,9660</v>
      </c>
      <c r="M12" s="13" t="s">
        <v>541</v>
      </c>
    </row>
    <row r="13" spans="1:13">
      <c r="B13" s="5" t="s">
        <v>204</v>
      </c>
    </row>
    <row r="14" spans="1:13" ht="16">
      <c r="A14" s="80" t="s">
        <v>123</v>
      </c>
      <c r="B14" s="80"/>
      <c r="C14" s="80"/>
      <c r="D14" s="80"/>
      <c r="E14" s="80"/>
      <c r="F14" s="80"/>
      <c r="G14" s="80"/>
      <c r="H14" s="80"/>
      <c r="I14" s="80"/>
      <c r="J14" s="80"/>
    </row>
    <row r="15" spans="1:13">
      <c r="A15" s="14" t="s">
        <v>202</v>
      </c>
      <c r="B15" s="13" t="s">
        <v>519</v>
      </c>
      <c r="C15" s="13" t="s">
        <v>562</v>
      </c>
      <c r="D15" s="13" t="s">
        <v>520</v>
      </c>
      <c r="E15" s="13" t="s">
        <v>658</v>
      </c>
      <c r="F15" s="13" t="s">
        <v>77</v>
      </c>
      <c r="G15" s="27" t="s">
        <v>106</v>
      </c>
      <c r="H15" s="27" t="s">
        <v>129</v>
      </c>
      <c r="I15" s="26" t="s">
        <v>161</v>
      </c>
      <c r="J15" s="14"/>
      <c r="K15" s="14" t="str">
        <f>"210,0"</f>
        <v>210,0</v>
      </c>
      <c r="L15" s="14" t="str">
        <f>"152,3737"</f>
        <v>152,3737</v>
      </c>
      <c r="M15" s="13" t="s">
        <v>521</v>
      </c>
    </row>
    <row r="16" spans="1:13">
      <c r="B16" s="5" t="s">
        <v>204</v>
      </c>
    </row>
    <row r="17" spans="1:13" ht="16">
      <c r="A17" s="80" t="s">
        <v>167</v>
      </c>
      <c r="B17" s="80"/>
      <c r="C17" s="80"/>
      <c r="D17" s="80"/>
      <c r="E17" s="80"/>
      <c r="F17" s="80"/>
      <c r="G17" s="80"/>
      <c r="H17" s="80"/>
      <c r="I17" s="80"/>
      <c r="J17" s="80"/>
    </row>
    <row r="18" spans="1:13">
      <c r="A18" s="14" t="s">
        <v>202</v>
      </c>
      <c r="B18" s="13" t="s">
        <v>522</v>
      </c>
      <c r="C18" s="13" t="s">
        <v>523</v>
      </c>
      <c r="D18" s="13" t="s">
        <v>524</v>
      </c>
      <c r="E18" s="13" t="s">
        <v>657</v>
      </c>
      <c r="F18" s="13" t="s">
        <v>16</v>
      </c>
      <c r="G18" s="27" t="s">
        <v>166</v>
      </c>
      <c r="H18" s="26" t="s">
        <v>283</v>
      </c>
      <c r="I18" s="26" t="s">
        <v>525</v>
      </c>
      <c r="J18" s="14"/>
      <c r="K18" s="14" t="str">
        <f>"180,0"</f>
        <v>180,0</v>
      </c>
      <c r="L18" s="14" t="str">
        <f>"105,5970"</f>
        <v>105,5970</v>
      </c>
      <c r="M18" s="13" t="s">
        <v>526</v>
      </c>
    </row>
    <row r="19" spans="1:13">
      <c r="B19" s="5" t="s">
        <v>204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A17:J17"/>
    <mergeCell ref="B3:B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3.5" style="5" bestFit="1" customWidth="1"/>
    <col min="7" max="10" width="5.5" style="6" customWidth="1"/>
    <col min="11" max="11" width="12.5" style="6" customWidth="1"/>
    <col min="12" max="12" width="8.5" style="6" bestFit="1" customWidth="1"/>
    <col min="13" max="13" width="21.6640625" style="5" customWidth="1"/>
    <col min="14" max="16384" width="9.1640625" style="3"/>
  </cols>
  <sheetData>
    <row r="1" spans="1:13" s="2" customFormat="1" ht="29" customHeight="1">
      <c r="A1" s="87" t="s">
        <v>618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10</v>
      </c>
      <c r="H3" s="83"/>
      <c r="I3" s="83"/>
      <c r="J3" s="83"/>
      <c r="K3" s="83" t="s">
        <v>319</v>
      </c>
      <c r="L3" s="83" t="s">
        <v>3</v>
      </c>
      <c r="M3" s="98" t="s">
        <v>2</v>
      </c>
    </row>
    <row r="4" spans="1:13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84"/>
      <c r="L4" s="84"/>
      <c r="M4" s="99"/>
    </row>
    <row r="5" spans="1:13" ht="16">
      <c r="A5" s="81" t="s">
        <v>137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14" t="s">
        <v>202</v>
      </c>
      <c r="B6" s="13" t="s">
        <v>507</v>
      </c>
      <c r="C6" s="13" t="s">
        <v>508</v>
      </c>
      <c r="D6" s="13" t="s">
        <v>140</v>
      </c>
      <c r="E6" s="13" t="s">
        <v>657</v>
      </c>
      <c r="F6" s="13" t="s">
        <v>509</v>
      </c>
      <c r="G6" s="27" t="s">
        <v>236</v>
      </c>
      <c r="H6" s="27" t="s">
        <v>224</v>
      </c>
      <c r="I6" s="27" t="s">
        <v>237</v>
      </c>
      <c r="J6" s="26" t="s">
        <v>238</v>
      </c>
      <c r="K6" s="14" t="str">
        <f>"295,0"</f>
        <v>295,0</v>
      </c>
      <c r="L6" s="14" t="str">
        <f>"180,8350"</f>
        <v>180,8350</v>
      </c>
      <c r="M6" s="13" t="s">
        <v>652</v>
      </c>
    </row>
    <row r="7" spans="1:13">
      <c r="B7" s="5" t="s">
        <v>204</v>
      </c>
    </row>
    <row r="8" spans="1:13" ht="16">
      <c r="A8" s="80" t="s">
        <v>291</v>
      </c>
      <c r="B8" s="80"/>
      <c r="C8" s="80"/>
      <c r="D8" s="80"/>
      <c r="E8" s="80"/>
      <c r="F8" s="80"/>
      <c r="G8" s="80"/>
      <c r="H8" s="80"/>
      <c r="I8" s="80"/>
      <c r="J8" s="80"/>
    </row>
    <row r="9" spans="1:13">
      <c r="A9" s="14" t="s">
        <v>202</v>
      </c>
      <c r="B9" s="13" t="s">
        <v>510</v>
      </c>
      <c r="C9" s="13" t="s">
        <v>563</v>
      </c>
      <c r="D9" s="13" t="s">
        <v>511</v>
      </c>
      <c r="E9" s="13" t="s">
        <v>658</v>
      </c>
      <c r="F9" s="13" t="s">
        <v>497</v>
      </c>
      <c r="G9" s="27" t="s">
        <v>226</v>
      </c>
      <c r="H9" s="27" t="s">
        <v>236</v>
      </c>
      <c r="I9" s="27" t="s">
        <v>224</v>
      </c>
      <c r="J9" s="14"/>
      <c r="K9" s="14" t="str">
        <f>"290,0"</f>
        <v>290,0</v>
      </c>
      <c r="L9" s="14" t="str">
        <f>"160,6455"</f>
        <v>160,6455</v>
      </c>
      <c r="M9" s="13" t="s">
        <v>652</v>
      </c>
    </row>
    <row r="10" spans="1:13">
      <c r="B10" s="5" t="s">
        <v>204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8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20.3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8.33203125" style="5" bestFit="1" customWidth="1"/>
    <col min="7" max="9" width="5.5" style="6" customWidth="1"/>
    <col min="10" max="10" width="4.83203125" style="6" customWidth="1"/>
    <col min="11" max="11" width="16.5" style="6" customWidth="1"/>
    <col min="12" max="12" width="8.5" style="6" bestFit="1" customWidth="1"/>
    <col min="13" max="13" width="24.6640625" style="5" customWidth="1"/>
    <col min="14" max="16384" width="9.1640625" style="3"/>
  </cols>
  <sheetData>
    <row r="1" spans="1:13" s="2" customFormat="1" ht="29" customHeight="1">
      <c r="A1" s="87" t="s">
        <v>619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10</v>
      </c>
      <c r="H3" s="83"/>
      <c r="I3" s="83"/>
      <c r="J3" s="83"/>
      <c r="K3" s="83" t="s">
        <v>319</v>
      </c>
      <c r="L3" s="83" t="s">
        <v>3</v>
      </c>
      <c r="M3" s="98" t="s">
        <v>2</v>
      </c>
    </row>
    <row r="4" spans="1:13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84"/>
      <c r="L4" s="84"/>
      <c r="M4" s="99"/>
    </row>
    <row r="5" spans="1:13" ht="16">
      <c r="A5" s="81" t="s">
        <v>173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8" t="s">
        <v>202</v>
      </c>
      <c r="B6" s="7" t="s">
        <v>527</v>
      </c>
      <c r="C6" s="7" t="s">
        <v>528</v>
      </c>
      <c r="D6" s="7" t="s">
        <v>529</v>
      </c>
      <c r="E6" s="7" t="s">
        <v>657</v>
      </c>
      <c r="F6" s="7" t="s">
        <v>299</v>
      </c>
      <c r="G6" s="21" t="s">
        <v>530</v>
      </c>
      <c r="H6" s="21" t="s">
        <v>531</v>
      </c>
      <c r="I6" s="8"/>
      <c r="J6" s="8"/>
      <c r="K6" s="8" t="str">
        <f>"375,0"</f>
        <v>375,0</v>
      </c>
      <c r="L6" s="8" t="str">
        <f>"211,8750"</f>
        <v>211,8750</v>
      </c>
      <c r="M6" s="7" t="s">
        <v>652</v>
      </c>
    </row>
    <row r="7" spans="1:13">
      <c r="A7" s="12" t="s">
        <v>202</v>
      </c>
      <c r="B7" s="11" t="s">
        <v>527</v>
      </c>
      <c r="C7" s="11" t="s">
        <v>564</v>
      </c>
      <c r="D7" s="11" t="s">
        <v>529</v>
      </c>
      <c r="E7" s="11" t="s">
        <v>658</v>
      </c>
      <c r="F7" s="11" t="s">
        <v>299</v>
      </c>
      <c r="G7" s="24" t="s">
        <v>530</v>
      </c>
      <c r="H7" s="24" t="s">
        <v>531</v>
      </c>
      <c r="I7" s="12"/>
      <c r="J7" s="12"/>
      <c r="K7" s="12" t="str">
        <f>"375,0"</f>
        <v>375,0</v>
      </c>
      <c r="L7" s="12" t="str">
        <f>"229,2487"</f>
        <v>229,2487</v>
      </c>
      <c r="M7" s="11" t="s">
        <v>652</v>
      </c>
    </row>
    <row r="8" spans="1:13">
      <c r="B8" s="5" t="s">
        <v>204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2" style="5" bestFit="1" customWidth="1"/>
    <col min="7" max="10" width="5.5" style="6" customWidth="1"/>
    <col min="11" max="11" width="11.1640625" style="28" customWidth="1"/>
    <col min="12" max="12" width="9.83203125" style="6" customWidth="1"/>
    <col min="13" max="13" width="21.1640625" style="5" customWidth="1"/>
    <col min="14" max="16384" width="9.1640625" style="3"/>
  </cols>
  <sheetData>
    <row r="1" spans="1:13" s="2" customFormat="1" ht="29" customHeight="1">
      <c r="A1" s="87" t="s">
        <v>620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10</v>
      </c>
      <c r="H3" s="83"/>
      <c r="I3" s="83"/>
      <c r="J3" s="83"/>
      <c r="K3" s="85" t="s">
        <v>319</v>
      </c>
      <c r="L3" s="83" t="s">
        <v>3</v>
      </c>
      <c r="M3" s="98" t="s">
        <v>2</v>
      </c>
    </row>
    <row r="4" spans="1:13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86"/>
      <c r="L4" s="84"/>
      <c r="M4" s="99"/>
    </row>
    <row r="5" spans="1:13" ht="16">
      <c r="A5" s="81" t="s">
        <v>247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14" t="s">
        <v>202</v>
      </c>
      <c r="B6" s="13" t="s">
        <v>533</v>
      </c>
      <c r="C6" s="13" t="s">
        <v>565</v>
      </c>
      <c r="D6" s="13" t="s">
        <v>534</v>
      </c>
      <c r="E6" s="13" t="s">
        <v>663</v>
      </c>
      <c r="F6" s="13" t="s">
        <v>535</v>
      </c>
      <c r="G6" s="27" t="s">
        <v>85</v>
      </c>
      <c r="H6" s="27" t="s">
        <v>50</v>
      </c>
      <c r="I6" s="26" t="s">
        <v>28</v>
      </c>
      <c r="J6" s="14"/>
      <c r="K6" s="32" t="str">
        <f>"60,0"</f>
        <v>60,0</v>
      </c>
      <c r="L6" s="14" t="str">
        <f>"60,5940"</f>
        <v>60,5940</v>
      </c>
      <c r="M6" s="13" t="s">
        <v>536</v>
      </c>
    </row>
    <row r="7" spans="1:13">
      <c r="B7" s="5" t="s">
        <v>204</v>
      </c>
    </row>
    <row r="8" spans="1:13" ht="16">
      <c r="A8" s="80" t="s">
        <v>137</v>
      </c>
      <c r="B8" s="80"/>
      <c r="C8" s="80"/>
      <c r="D8" s="80"/>
      <c r="E8" s="80"/>
      <c r="F8" s="80"/>
      <c r="G8" s="80"/>
      <c r="H8" s="80"/>
      <c r="I8" s="80"/>
      <c r="J8" s="80"/>
    </row>
    <row r="9" spans="1:13">
      <c r="A9" s="8" t="s">
        <v>206</v>
      </c>
      <c r="B9" s="7" t="s">
        <v>537</v>
      </c>
      <c r="C9" s="7" t="s">
        <v>538</v>
      </c>
      <c r="D9" s="7" t="s">
        <v>539</v>
      </c>
      <c r="E9" s="7" t="s">
        <v>657</v>
      </c>
      <c r="F9" s="7" t="s">
        <v>77</v>
      </c>
      <c r="G9" s="20" t="s">
        <v>73</v>
      </c>
      <c r="H9" s="20" t="s">
        <v>73</v>
      </c>
      <c r="I9" s="20" t="s">
        <v>73</v>
      </c>
      <c r="J9" s="8"/>
      <c r="K9" s="29">
        <v>0</v>
      </c>
      <c r="L9" s="8" t="str">
        <f>"0,0000"</f>
        <v>0,0000</v>
      </c>
      <c r="M9" s="7" t="s">
        <v>652</v>
      </c>
    </row>
    <row r="10" spans="1:13">
      <c r="A10" s="12" t="s">
        <v>206</v>
      </c>
      <c r="B10" s="11" t="s">
        <v>537</v>
      </c>
      <c r="C10" s="11" t="s">
        <v>540</v>
      </c>
      <c r="D10" s="11" t="s">
        <v>539</v>
      </c>
      <c r="E10" s="11" t="s">
        <v>658</v>
      </c>
      <c r="F10" s="11" t="s">
        <v>77</v>
      </c>
      <c r="G10" s="25" t="s">
        <v>73</v>
      </c>
      <c r="H10" s="25" t="s">
        <v>73</v>
      </c>
      <c r="I10" s="25" t="s">
        <v>73</v>
      </c>
      <c r="J10" s="12"/>
      <c r="K10" s="31">
        <v>0</v>
      </c>
      <c r="L10" s="12" t="str">
        <f>"0,0000"</f>
        <v>0,0000</v>
      </c>
      <c r="M10" s="11" t="s">
        <v>652</v>
      </c>
    </row>
    <row r="11" spans="1:13">
      <c r="B11" s="5" t="s">
        <v>204</v>
      </c>
    </row>
    <row r="12" spans="1:13">
      <c r="B12" s="5" t="s">
        <v>204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9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8.6640625" style="5" customWidth="1"/>
    <col min="14" max="16384" width="9.1640625" style="3"/>
  </cols>
  <sheetData>
    <row r="1" spans="1:13" s="2" customFormat="1" ht="29" customHeight="1">
      <c r="A1" s="87" t="s">
        <v>621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11</v>
      </c>
      <c r="H3" s="83"/>
      <c r="I3" s="83"/>
      <c r="J3" s="83"/>
      <c r="K3" s="83" t="s">
        <v>319</v>
      </c>
      <c r="L3" s="83" t="s">
        <v>3</v>
      </c>
      <c r="M3" s="98" t="s">
        <v>2</v>
      </c>
    </row>
    <row r="4" spans="1:13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84"/>
      <c r="L4" s="84"/>
      <c r="M4" s="99"/>
    </row>
    <row r="5" spans="1:13" ht="16">
      <c r="A5" s="81" t="s">
        <v>108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14" t="s">
        <v>202</v>
      </c>
      <c r="B6" s="13" t="s">
        <v>412</v>
      </c>
      <c r="C6" s="13" t="s">
        <v>413</v>
      </c>
      <c r="D6" s="13" t="s">
        <v>414</v>
      </c>
      <c r="E6" s="13" t="s">
        <v>657</v>
      </c>
      <c r="F6" s="13" t="s">
        <v>415</v>
      </c>
      <c r="G6" s="27" t="s">
        <v>166</v>
      </c>
      <c r="H6" s="27" t="s">
        <v>106</v>
      </c>
      <c r="I6" s="26" t="s">
        <v>107</v>
      </c>
      <c r="J6" s="14"/>
      <c r="K6" s="14" t="str">
        <f>"200,0"</f>
        <v>200,0</v>
      </c>
      <c r="L6" s="14" t="str">
        <f>"234,3200"</f>
        <v>234,3200</v>
      </c>
      <c r="M6" s="13" t="s">
        <v>587</v>
      </c>
    </row>
    <row r="7" spans="1:13">
      <c r="B7" s="5" t="s">
        <v>204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7"/>
  <sheetViews>
    <sheetView topLeftCell="A15" workbookViewId="0">
      <selection activeCell="E38" sqref="E38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1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9.1640625" style="5" bestFit="1" customWidth="1"/>
    <col min="14" max="16384" width="9.1640625" style="3"/>
  </cols>
  <sheetData>
    <row r="1" spans="1:13" s="2" customFormat="1" ht="29" customHeight="1">
      <c r="A1" s="87" t="s">
        <v>622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11</v>
      </c>
      <c r="H3" s="83"/>
      <c r="I3" s="83"/>
      <c r="J3" s="83"/>
      <c r="K3" s="83" t="s">
        <v>319</v>
      </c>
      <c r="L3" s="83" t="s">
        <v>3</v>
      </c>
      <c r="M3" s="98" t="s">
        <v>2</v>
      </c>
    </row>
    <row r="4" spans="1:13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84"/>
      <c r="L4" s="84"/>
      <c r="M4" s="99"/>
    </row>
    <row r="5" spans="1:13" ht="16">
      <c r="A5" s="81" t="s">
        <v>241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8" t="s">
        <v>202</v>
      </c>
      <c r="B6" s="7" t="s">
        <v>242</v>
      </c>
      <c r="C6" s="7" t="s">
        <v>547</v>
      </c>
      <c r="D6" s="7" t="s">
        <v>243</v>
      </c>
      <c r="E6" s="7" t="s">
        <v>663</v>
      </c>
      <c r="F6" s="7" t="s">
        <v>77</v>
      </c>
      <c r="G6" s="46" t="s">
        <v>17</v>
      </c>
      <c r="H6" s="46" t="s">
        <v>245</v>
      </c>
      <c r="I6" s="46" t="s">
        <v>246</v>
      </c>
      <c r="J6" s="8"/>
      <c r="K6" s="8" t="str">
        <f>"95,0"</f>
        <v>95,0</v>
      </c>
      <c r="L6" s="8" t="str">
        <f>"252,7950"</f>
        <v>252,7950</v>
      </c>
      <c r="M6" s="7" t="s">
        <v>239</v>
      </c>
    </row>
    <row r="7" spans="1:13">
      <c r="A7" s="12" t="s">
        <v>202</v>
      </c>
      <c r="B7" s="11" t="s">
        <v>242</v>
      </c>
      <c r="C7" s="11" t="s">
        <v>244</v>
      </c>
      <c r="D7" s="11" t="s">
        <v>243</v>
      </c>
      <c r="E7" s="11" t="s">
        <v>657</v>
      </c>
      <c r="F7" s="11" t="s">
        <v>77</v>
      </c>
      <c r="G7" s="47" t="s">
        <v>17</v>
      </c>
      <c r="H7" s="47" t="s">
        <v>245</v>
      </c>
      <c r="I7" s="47" t="s">
        <v>246</v>
      </c>
      <c r="J7" s="12"/>
      <c r="K7" s="12" t="str">
        <f>"95,0"</f>
        <v>95,0</v>
      </c>
      <c r="L7" s="12" t="str">
        <f>"252,7950"</f>
        <v>252,7950</v>
      </c>
      <c r="M7" s="11" t="s">
        <v>239</v>
      </c>
    </row>
    <row r="8" spans="1:13">
      <c r="B8" s="5" t="s">
        <v>204</v>
      </c>
    </row>
    <row r="9" spans="1:13" ht="16">
      <c r="A9" s="80" t="s">
        <v>247</v>
      </c>
      <c r="B9" s="80"/>
      <c r="C9" s="80"/>
      <c r="D9" s="80"/>
      <c r="E9" s="80"/>
      <c r="F9" s="80"/>
      <c r="G9" s="80"/>
      <c r="H9" s="80"/>
      <c r="I9" s="80"/>
      <c r="J9" s="80"/>
    </row>
    <row r="10" spans="1:13">
      <c r="A10" s="8" t="s">
        <v>202</v>
      </c>
      <c r="B10" s="7" t="s">
        <v>248</v>
      </c>
      <c r="C10" s="7" t="s">
        <v>548</v>
      </c>
      <c r="D10" s="7" t="s">
        <v>249</v>
      </c>
      <c r="E10" s="7" t="s">
        <v>660</v>
      </c>
      <c r="F10" s="7" t="s">
        <v>250</v>
      </c>
      <c r="G10" s="46" t="s">
        <v>50</v>
      </c>
      <c r="H10" s="46" t="s">
        <v>33</v>
      </c>
      <c r="I10" s="46" t="s">
        <v>40</v>
      </c>
      <c r="J10" s="8"/>
      <c r="K10" s="8" t="str">
        <f>"77,5"</f>
        <v>77,5</v>
      </c>
      <c r="L10" s="8" t="str">
        <f>"166,5320"</f>
        <v>166,5320</v>
      </c>
      <c r="M10" s="7" t="s">
        <v>239</v>
      </c>
    </row>
    <row r="11" spans="1:13">
      <c r="A11" s="12" t="s">
        <v>202</v>
      </c>
      <c r="B11" s="11" t="s">
        <v>248</v>
      </c>
      <c r="C11" s="11" t="s">
        <v>251</v>
      </c>
      <c r="D11" s="11" t="s">
        <v>249</v>
      </c>
      <c r="E11" s="11" t="s">
        <v>657</v>
      </c>
      <c r="F11" s="11" t="s">
        <v>250</v>
      </c>
      <c r="G11" s="47" t="s">
        <v>50</v>
      </c>
      <c r="H11" s="47" t="s">
        <v>33</v>
      </c>
      <c r="I11" s="47" t="s">
        <v>40</v>
      </c>
      <c r="J11" s="12"/>
      <c r="K11" s="12" t="str">
        <f>"77,5"</f>
        <v>77,5</v>
      </c>
      <c r="L11" s="12" t="str">
        <f>"166,5320"</f>
        <v>166,5320</v>
      </c>
      <c r="M11" s="11" t="s">
        <v>239</v>
      </c>
    </row>
    <row r="12" spans="1:13">
      <c r="B12" s="5" t="s">
        <v>204</v>
      </c>
    </row>
    <row r="13" spans="1:13" ht="16">
      <c r="A13" s="80" t="s">
        <v>12</v>
      </c>
      <c r="B13" s="80"/>
      <c r="C13" s="80"/>
      <c r="D13" s="80"/>
      <c r="E13" s="80"/>
      <c r="F13" s="80"/>
      <c r="G13" s="80"/>
      <c r="H13" s="80"/>
      <c r="I13" s="80"/>
      <c r="J13" s="80"/>
    </row>
    <row r="14" spans="1:13">
      <c r="A14" s="8" t="s">
        <v>202</v>
      </c>
      <c r="B14" s="7" t="s">
        <v>252</v>
      </c>
      <c r="C14" s="7" t="s">
        <v>549</v>
      </c>
      <c r="D14" s="7" t="s">
        <v>253</v>
      </c>
      <c r="E14" s="7" t="s">
        <v>660</v>
      </c>
      <c r="F14" s="33" t="s">
        <v>254</v>
      </c>
      <c r="G14" s="38" t="s">
        <v>29</v>
      </c>
      <c r="H14" s="21" t="s">
        <v>17</v>
      </c>
      <c r="I14" s="46" t="s">
        <v>245</v>
      </c>
      <c r="J14" s="41"/>
      <c r="K14" s="8" t="str">
        <f>"87,5"</f>
        <v>87,5</v>
      </c>
      <c r="L14" s="8" t="str">
        <f>"173,6000"</f>
        <v>173,6000</v>
      </c>
      <c r="M14" s="7" t="s">
        <v>239</v>
      </c>
    </row>
    <row r="15" spans="1:13">
      <c r="A15" s="10" t="s">
        <v>202</v>
      </c>
      <c r="B15" s="9" t="s">
        <v>256</v>
      </c>
      <c r="C15" s="9" t="s">
        <v>550</v>
      </c>
      <c r="D15" s="9" t="s">
        <v>257</v>
      </c>
      <c r="E15" s="9" t="s">
        <v>663</v>
      </c>
      <c r="F15" s="70" t="s">
        <v>26</v>
      </c>
      <c r="G15" s="55" t="s">
        <v>50</v>
      </c>
      <c r="H15" s="22" t="s">
        <v>33</v>
      </c>
      <c r="I15" s="57" t="s">
        <v>35</v>
      </c>
      <c r="J15" s="53"/>
      <c r="K15" s="10" t="str">
        <f>"75,0"</f>
        <v>75,0</v>
      </c>
      <c r="L15" s="10" t="str">
        <f>"145,0500"</f>
        <v>145,0500</v>
      </c>
      <c r="M15" s="9" t="s">
        <v>652</v>
      </c>
    </row>
    <row r="16" spans="1:13">
      <c r="A16" s="10" t="s">
        <v>202</v>
      </c>
      <c r="B16" s="9" t="s">
        <v>385</v>
      </c>
      <c r="C16" s="9" t="s">
        <v>386</v>
      </c>
      <c r="D16" s="9" t="s">
        <v>387</v>
      </c>
      <c r="E16" s="9" t="s">
        <v>657</v>
      </c>
      <c r="F16" s="70" t="s">
        <v>209</v>
      </c>
      <c r="G16" s="55" t="s">
        <v>99</v>
      </c>
      <c r="H16" s="23" t="s">
        <v>170</v>
      </c>
      <c r="I16" s="56" t="s">
        <v>170</v>
      </c>
      <c r="J16" s="53"/>
      <c r="K16" s="10" t="str">
        <f>"170,0"</f>
        <v>170,0</v>
      </c>
      <c r="L16" s="10" t="str">
        <f>"325,6860"</f>
        <v>325,6860</v>
      </c>
      <c r="M16" s="9" t="s">
        <v>599</v>
      </c>
    </row>
    <row r="17" spans="1:13">
      <c r="A17" s="10" t="s">
        <v>203</v>
      </c>
      <c r="B17" s="9" t="s">
        <v>258</v>
      </c>
      <c r="C17" s="9" t="s">
        <v>259</v>
      </c>
      <c r="D17" s="9" t="s">
        <v>260</v>
      </c>
      <c r="E17" s="9" t="s">
        <v>657</v>
      </c>
      <c r="F17" s="70" t="s">
        <v>77</v>
      </c>
      <c r="G17" s="55" t="s">
        <v>99</v>
      </c>
      <c r="H17" s="23" t="s">
        <v>171</v>
      </c>
      <c r="I17" s="56" t="s">
        <v>171</v>
      </c>
      <c r="J17" s="53"/>
      <c r="K17" s="10" t="str">
        <f>"170,0"</f>
        <v>170,0</v>
      </c>
      <c r="L17" s="10" t="str">
        <f>"325,0740"</f>
        <v>325,0740</v>
      </c>
      <c r="M17" s="9" t="s">
        <v>584</v>
      </c>
    </row>
    <row r="18" spans="1:13">
      <c r="A18" s="10" t="s">
        <v>205</v>
      </c>
      <c r="B18" s="9" t="s">
        <v>252</v>
      </c>
      <c r="C18" s="9" t="s">
        <v>261</v>
      </c>
      <c r="D18" s="9" t="s">
        <v>253</v>
      </c>
      <c r="E18" s="9" t="s">
        <v>657</v>
      </c>
      <c r="F18" s="70" t="s">
        <v>586</v>
      </c>
      <c r="G18" s="55" t="s">
        <v>29</v>
      </c>
      <c r="H18" s="22" t="s">
        <v>17</v>
      </c>
      <c r="I18" s="57" t="s">
        <v>245</v>
      </c>
      <c r="J18" s="53"/>
      <c r="K18" s="10" t="str">
        <f>"87,5"</f>
        <v>87,5</v>
      </c>
      <c r="L18" s="10" t="str">
        <f>"173,6000"</f>
        <v>173,6000</v>
      </c>
      <c r="M18" s="9" t="s">
        <v>239</v>
      </c>
    </row>
    <row r="19" spans="1:13">
      <c r="A19" s="10" t="s">
        <v>411</v>
      </c>
      <c r="B19" s="9" t="s">
        <v>256</v>
      </c>
      <c r="C19" s="9" t="s">
        <v>262</v>
      </c>
      <c r="D19" s="9" t="s">
        <v>257</v>
      </c>
      <c r="E19" s="9" t="s">
        <v>657</v>
      </c>
      <c r="F19" s="70" t="s">
        <v>26</v>
      </c>
      <c r="G19" s="55" t="s">
        <v>50</v>
      </c>
      <c r="H19" s="22" t="s">
        <v>33</v>
      </c>
      <c r="I19" s="57" t="s">
        <v>35</v>
      </c>
      <c r="J19" s="53"/>
      <c r="K19" s="10" t="str">
        <f>"75,0"</f>
        <v>75,0</v>
      </c>
      <c r="L19" s="10" t="str">
        <f>"145,0500"</f>
        <v>145,0500</v>
      </c>
      <c r="M19" s="9" t="s">
        <v>653</v>
      </c>
    </row>
    <row r="20" spans="1:13">
      <c r="A20" s="12" t="s">
        <v>202</v>
      </c>
      <c r="B20" s="11" t="s">
        <v>52</v>
      </c>
      <c r="C20" s="11" t="s">
        <v>637</v>
      </c>
      <c r="D20" s="11" t="s">
        <v>53</v>
      </c>
      <c r="E20" s="11" t="s">
        <v>665</v>
      </c>
      <c r="F20" s="34" t="s">
        <v>77</v>
      </c>
      <c r="G20" s="42" t="s">
        <v>54</v>
      </c>
      <c r="H20" s="24" t="s">
        <v>23</v>
      </c>
      <c r="I20" s="47" t="s">
        <v>55</v>
      </c>
      <c r="J20" s="45"/>
      <c r="K20" s="12" t="str">
        <f>"117,5"</f>
        <v>117,5</v>
      </c>
      <c r="L20" s="12" t="str">
        <f>"261,8722"</f>
        <v>261,8722</v>
      </c>
      <c r="M20" s="11" t="s">
        <v>579</v>
      </c>
    </row>
    <row r="21" spans="1:13">
      <c r="B21" s="5" t="s">
        <v>204</v>
      </c>
    </row>
    <row r="22" spans="1:13" ht="16">
      <c r="A22" s="80" t="s">
        <v>56</v>
      </c>
      <c r="B22" s="80"/>
      <c r="C22" s="80"/>
      <c r="D22" s="80"/>
      <c r="E22" s="80"/>
      <c r="F22" s="80"/>
      <c r="G22" s="80"/>
      <c r="H22" s="80"/>
      <c r="I22" s="80"/>
      <c r="J22" s="80"/>
    </row>
    <row r="23" spans="1:13">
      <c r="A23" s="14" t="s">
        <v>202</v>
      </c>
      <c r="B23" s="13" t="s">
        <v>388</v>
      </c>
      <c r="C23" s="13" t="s">
        <v>389</v>
      </c>
      <c r="D23" s="13" t="s">
        <v>390</v>
      </c>
      <c r="E23" s="13" t="s">
        <v>657</v>
      </c>
      <c r="F23" s="13" t="s">
        <v>77</v>
      </c>
      <c r="G23" s="27" t="s">
        <v>22</v>
      </c>
      <c r="H23" s="27" t="s">
        <v>60</v>
      </c>
      <c r="I23" s="27" t="s">
        <v>68</v>
      </c>
      <c r="J23" s="14"/>
      <c r="K23" s="14" t="str">
        <f>"120,0"</f>
        <v>120,0</v>
      </c>
      <c r="L23" s="14" t="str">
        <f>"217,2960"</f>
        <v>217,2960</v>
      </c>
      <c r="M23" s="13" t="s">
        <v>600</v>
      </c>
    </row>
    <row r="24" spans="1:13">
      <c r="B24" s="5" t="s">
        <v>204</v>
      </c>
    </row>
    <row r="25" spans="1:13" ht="16">
      <c r="A25" s="80" t="s">
        <v>108</v>
      </c>
      <c r="B25" s="80"/>
      <c r="C25" s="80"/>
      <c r="D25" s="80"/>
      <c r="E25" s="80"/>
      <c r="F25" s="80"/>
      <c r="G25" s="80"/>
      <c r="H25" s="80"/>
      <c r="I25" s="80"/>
      <c r="J25" s="80"/>
    </row>
    <row r="26" spans="1:13">
      <c r="A26" s="14" t="s">
        <v>202</v>
      </c>
      <c r="B26" s="13" t="s">
        <v>391</v>
      </c>
      <c r="C26" s="13" t="s">
        <v>392</v>
      </c>
      <c r="D26" s="13" t="s">
        <v>337</v>
      </c>
      <c r="E26" s="13" t="s">
        <v>657</v>
      </c>
      <c r="F26" s="13" t="s">
        <v>26</v>
      </c>
      <c r="G26" s="27" t="s">
        <v>98</v>
      </c>
      <c r="H26" s="27" t="s">
        <v>228</v>
      </c>
      <c r="I26" s="27" t="s">
        <v>172</v>
      </c>
      <c r="J26" s="14"/>
      <c r="K26" s="14" t="str">
        <f>"182,5"</f>
        <v>182,5</v>
      </c>
      <c r="L26" s="14" t="str">
        <f>"206,0060"</f>
        <v>206,0060</v>
      </c>
      <c r="M26" s="13" t="s">
        <v>211</v>
      </c>
    </row>
    <row r="27" spans="1:13">
      <c r="B27" s="5" t="s">
        <v>204</v>
      </c>
    </row>
    <row r="28" spans="1:13" ht="16">
      <c r="A28" s="80" t="s">
        <v>123</v>
      </c>
      <c r="B28" s="80"/>
      <c r="C28" s="80"/>
      <c r="D28" s="80"/>
      <c r="E28" s="80"/>
      <c r="F28" s="80"/>
      <c r="G28" s="80"/>
      <c r="H28" s="80"/>
      <c r="I28" s="80"/>
      <c r="J28" s="80"/>
    </row>
    <row r="29" spans="1:13">
      <c r="A29" s="8" t="s">
        <v>202</v>
      </c>
      <c r="B29" s="7" t="s">
        <v>266</v>
      </c>
      <c r="C29" s="7" t="s">
        <v>554</v>
      </c>
      <c r="D29" s="7" t="s">
        <v>268</v>
      </c>
      <c r="E29" s="7" t="s">
        <v>660</v>
      </c>
      <c r="F29" s="33" t="s">
        <v>77</v>
      </c>
      <c r="G29" s="38" t="s">
        <v>166</v>
      </c>
      <c r="H29" s="21" t="s">
        <v>128</v>
      </c>
      <c r="I29" s="46" t="s">
        <v>107</v>
      </c>
      <c r="J29" s="41"/>
      <c r="K29" s="8" t="str">
        <f>"205,0"</f>
        <v>205,0</v>
      </c>
      <c r="L29" s="8" t="str">
        <f>"219,5140"</f>
        <v>219,5140</v>
      </c>
      <c r="M29" s="7" t="s">
        <v>239</v>
      </c>
    </row>
    <row r="30" spans="1:13">
      <c r="A30" s="10" t="s">
        <v>203</v>
      </c>
      <c r="B30" s="9" t="s">
        <v>393</v>
      </c>
      <c r="C30" s="9" t="s">
        <v>566</v>
      </c>
      <c r="D30" s="9" t="s">
        <v>394</v>
      </c>
      <c r="E30" s="9" t="s">
        <v>660</v>
      </c>
      <c r="F30" s="70" t="s">
        <v>598</v>
      </c>
      <c r="G30" s="71" t="s">
        <v>99</v>
      </c>
      <c r="H30" s="22" t="s">
        <v>166</v>
      </c>
      <c r="I30" s="56" t="s">
        <v>106</v>
      </c>
      <c r="J30" s="53"/>
      <c r="K30" s="10" t="str">
        <f>"180,0"</f>
        <v>180,0</v>
      </c>
      <c r="L30" s="10" t="str">
        <f>"189,0720"</f>
        <v>189,0720</v>
      </c>
      <c r="M30" s="9" t="s">
        <v>653</v>
      </c>
    </row>
    <row r="31" spans="1:13">
      <c r="A31" s="10" t="s">
        <v>202</v>
      </c>
      <c r="B31" s="9" t="s">
        <v>266</v>
      </c>
      <c r="C31" s="9" t="s">
        <v>267</v>
      </c>
      <c r="D31" s="9" t="s">
        <v>268</v>
      </c>
      <c r="E31" s="9" t="s">
        <v>657</v>
      </c>
      <c r="F31" s="70" t="s">
        <v>77</v>
      </c>
      <c r="G31" s="55" t="s">
        <v>166</v>
      </c>
      <c r="H31" s="22" t="s">
        <v>128</v>
      </c>
      <c r="I31" s="57" t="s">
        <v>107</v>
      </c>
      <c r="J31" s="53"/>
      <c r="K31" s="10" t="str">
        <f>"205,0"</f>
        <v>205,0</v>
      </c>
      <c r="L31" s="10" t="str">
        <f>"219,5140"</f>
        <v>219,5140</v>
      </c>
      <c r="M31" s="9" t="s">
        <v>239</v>
      </c>
    </row>
    <row r="32" spans="1:13">
      <c r="A32" s="12" t="s">
        <v>202</v>
      </c>
      <c r="B32" s="11" t="s">
        <v>395</v>
      </c>
      <c r="C32" s="11" t="s">
        <v>638</v>
      </c>
      <c r="D32" s="11" t="s">
        <v>396</v>
      </c>
      <c r="E32" s="11" t="s">
        <v>667</v>
      </c>
      <c r="F32" s="34" t="s">
        <v>397</v>
      </c>
      <c r="G32" s="42" t="s">
        <v>161</v>
      </c>
      <c r="H32" s="24" t="s">
        <v>131</v>
      </c>
      <c r="I32" s="45"/>
      <c r="J32" s="45"/>
      <c r="K32" s="12" t="str">
        <f>"230,0"</f>
        <v>230,0</v>
      </c>
      <c r="L32" s="12" t="str">
        <f>"374,6436"</f>
        <v>374,6436</v>
      </c>
      <c r="M32" s="11" t="s">
        <v>398</v>
      </c>
    </row>
    <row r="33" spans="1:13">
      <c r="B33" s="5" t="s">
        <v>204</v>
      </c>
    </row>
    <row r="34" spans="1:13" ht="16">
      <c r="A34" s="80" t="s">
        <v>137</v>
      </c>
      <c r="B34" s="80"/>
      <c r="C34" s="80"/>
      <c r="D34" s="80"/>
      <c r="E34" s="80"/>
      <c r="F34" s="80"/>
      <c r="G34" s="80"/>
      <c r="H34" s="80"/>
      <c r="I34" s="80"/>
      <c r="J34" s="80"/>
    </row>
    <row r="35" spans="1:13">
      <c r="A35" s="8" t="s">
        <v>202</v>
      </c>
      <c r="B35" s="7" t="s">
        <v>399</v>
      </c>
      <c r="C35" s="7" t="s">
        <v>400</v>
      </c>
      <c r="D35" s="7" t="s">
        <v>401</v>
      </c>
      <c r="E35" s="7" t="s">
        <v>657</v>
      </c>
      <c r="F35" s="7" t="s">
        <v>402</v>
      </c>
      <c r="G35" s="21" t="s">
        <v>228</v>
      </c>
      <c r="H35" s="21" t="s">
        <v>127</v>
      </c>
      <c r="I35" s="20" t="s">
        <v>106</v>
      </c>
      <c r="J35" s="8"/>
      <c r="K35" s="8" t="str">
        <f>"185,0"</f>
        <v>185,0</v>
      </c>
      <c r="L35" s="8" t="str">
        <f>"181,5590"</f>
        <v>181,5590</v>
      </c>
      <c r="M35" s="7" t="s">
        <v>403</v>
      </c>
    </row>
    <row r="36" spans="1:13">
      <c r="A36" s="10" t="s">
        <v>202</v>
      </c>
      <c r="B36" s="9" t="s">
        <v>404</v>
      </c>
      <c r="C36" s="9" t="s">
        <v>639</v>
      </c>
      <c r="D36" s="9" t="s">
        <v>405</v>
      </c>
      <c r="E36" s="9" t="s">
        <v>661</v>
      </c>
      <c r="F36" s="9" t="s">
        <v>66</v>
      </c>
      <c r="G36" s="22" t="s">
        <v>128</v>
      </c>
      <c r="H36" s="22" t="s">
        <v>107</v>
      </c>
      <c r="I36" s="23" t="s">
        <v>150</v>
      </c>
      <c r="J36" s="10"/>
      <c r="K36" s="10" t="str">
        <f>"205,0"</f>
        <v>205,0</v>
      </c>
      <c r="L36" s="10" t="str">
        <f>"219,8719"</f>
        <v>219,8719</v>
      </c>
      <c r="M36" s="9" t="s">
        <v>652</v>
      </c>
    </row>
    <row r="37" spans="1:13">
      <c r="A37" s="12" t="s">
        <v>202</v>
      </c>
      <c r="B37" s="11" t="s">
        <v>406</v>
      </c>
      <c r="C37" s="11" t="s">
        <v>640</v>
      </c>
      <c r="D37" s="11" t="s">
        <v>407</v>
      </c>
      <c r="E37" s="11" t="s">
        <v>665</v>
      </c>
      <c r="F37" s="11" t="s">
        <v>66</v>
      </c>
      <c r="G37" s="24" t="s">
        <v>128</v>
      </c>
      <c r="H37" s="24" t="s">
        <v>107</v>
      </c>
      <c r="I37" s="24" t="s">
        <v>161</v>
      </c>
      <c r="J37" s="12"/>
      <c r="K37" s="12" t="str">
        <f>"215,0"</f>
        <v>215,0</v>
      </c>
      <c r="L37" s="12" t="str">
        <f>"270,3559"</f>
        <v>270,3559</v>
      </c>
      <c r="M37" s="11" t="s">
        <v>652</v>
      </c>
    </row>
    <row r="38" spans="1:13">
      <c r="B38" s="5" t="s">
        <v>204</v>
      </c>
    </row>
    <row r="41" spans="1:13" ht="18">
      <c r="B41" s="15" t="s">
        <v>177</v>
      </c>
      <c r="C41" s="15"/>
    </row>
    <row r="42" spans="1:13" ht="16">
      <c r="B42" s="16" t="s">
        <v>178</v>
      </c>
      <c r="C42" s="16"/>
    </row>
    <row r="43" spans="1:13" ht="14">
      <c r="B43" s="17"/>
      <c r="C43" s="18" t="s">
        <v>184</v>
      </c>
    </row>
    <row r="44" spans="1:13" ht="14">
      <c r="B44" s="19" t="s">
        <v>179</v>
      </c>
      <c r="C44" s="19" t="s">
        <v>180</v>
      </c>
      <c r="D44" s="19" t="s">
        <v>577</v>
      </c>
      <c r="E44" s="19" t="s">
        <v>318</v>
      </c>
      <c r="F44" s="19" t="s">
        <v>182</v>
      </c>
    </row>
    <row r="45" spans="1:13">
      <c r="B45" s="5" t="s">
        <v>385</v>
      </c>
      <c r="C45" s="5" t="s">
        <v>184</v>
      </c>
      <c r="D45" s="6" t="s">
        <v>276</v>
      </c>
      <c r="E45" s="6" t="s">
        <v>99</v>
      </c>
      <c r="F45" s="6" t="s">
        <v>409</v>
      </c>
    </row>
    <row r="46" spans="1:13">
      <c r="B46" s="5" t="s">
        <v>258</v>
      </c>
      <c r="C46" s="5" t="s">
        <v>184</v>
      </c>
      <c r="D46" s="6" t="s">
        <v>276</v>
      </c>
      <c r="E46" s="6" t="s">
        <v>99</v>
      </c>
      <c r="F46" s="6" t="s">
        <v>410</v>
      </c>
    </row>
    <row r="47" spans="1:13">
      <c r="B47" s="5" t="s">
        <v>242</v>
      </c>
      <c r="C47" s="5" t="s">
        <v>184</v>
      </c>
      <c r="D47" s="6" t="s">
        <v>279</v>
      </c>
      <c r="E47" s="6" t="s">
        <v>246</v>
      </c>
      <c r="F47" s="6" t="s">
        <v>408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34:J34"/>
    <mergeCell ref="K3:K4"/>
    <mergeCell ref="L3:L4"/>
    <mergeCell ref="M3:M4"/>
    <mergeCell ref="A5:J5"/>
    <mergeCell ref="B3:B4"/>
    <mergeCell ref="A9:J9"/>
    <mergeCell ref="A13:J13"/>
    <mergeCell ref="A22:J22"/>
    <mergeCell ref="A25:J25"/>
    <mergeCell ref="A28:J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U8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22.3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9.33203125" style="5" customWidth="1"/>
    <col min="22" max="16384" width="9.1640625" style="3"/>
  </cols>
  <sheetData>
    <row r="1" spans="1:21" s="2" customFormat="1" ht="29" customHeight="1">
      <c r="A1" s="87" t="s">
        <v>605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90"/>
    </row>
    <row r="2" spans="1:21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4"/>
    </row>
    <row r="3" spans="1:21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9</v>
      </c>
      <c r="H3" s="83"/>
      <c r="I3" s="83"/>
      <c r="J3" s="83"/>
      <c r="K3" s="83" t="s">
        <v>10</v>
      </c>
      <c r="L3" s="83"/>
      <c r="M3" s="83"/>
      <c r="N3" s="83"/>
      <c r="O3" s="83" t="s">
        <v>11</v>
      </c>
      <c r="P3" s="83"/>
      <c r="Q3" s="83"/>
      <c r="R3" s="83"/>
      <c r="S3" s="83" t="s">
        <v>1</v>
      </c>
      <c r="T3" s="83" t="s">
        <v>3</v>
      </c>
      <c r="U3" s="98" t="s">
        <v>2</v>
      </c>
    </row>
    <row r="4" spans="1:21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84"/>
      <c r="T4" s="84"/>
      <c r="U4" s="99"/>
    </row>
    <row r="5" spans="1:21" ht="16">
      <c r="A5" s="81" t="s">
        <v>291</v>
      </c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21">
      <c r="A6" s="8" t="s">
        <v>202</v>
      </c>
      <c r="B6" s="7" t="s">
        <v>292</v>
      </c>
      <c r="C6" s="7" t="s">
        <v>546</v>
      </c>
      <c r="D6" s="7" t="s">
        <v>293</v>
      </c>
      <c r="E6" s="7" t="s">
        <v>663</v>
      </c>
      <c r="F6" s="7" t="s">
        <v>77</v>
      </c>
      <c r="G6" s="20" t="s">
        <v>131</v>
      </c>
      <c r="H6" s="20" t="s">
        <v>131</v>
      </c>
      <c r="I6" s="21" t="s">
        <v>131</v>
      </c>
      <c r="J6" s="8"/>
      <c r="K6" s="21" t="s">
        <v>86</v>
      </c>
      <c r="L6" s="21" t="s">
        <v>294</v>
      </c>
      <c r="M6" s="21" t="s">
        <v>112</v>
      </c>
      <c r="N6" s="8"/>
      <c r="O6" s="21" t="s">
        <v>289</v>
      </c>
      <c r="P6" s="20" t="s">
        <v>153</v>
      </c>
      <c r="Q6" s="21" t="s">
        <v>153</v>
      </c>
      <c r="R6" s="8"/>
      <c r="S6" s="8" t="str">
        <f>"627,5"</f>
        <v>627,5</v>
      </c>
      <c r="T6" s="8" t="str">
        <f>"547,8075"</f>
        <v>547,8075</v>
      </c>
      <c r="U6" s="7" t="s">
        <v>295</v>
      </c>
    </row>
    <row r="7" spans="1:21">
      <c r="A7" s="12" t="s">
        <v>202</v>
      </c>
      <c r="B7" s="11" t="s">
        <v>292</v>
      </c>
      <c r="C7" s="11" t="s">
        <v>296</v>
      </c>
      <c r="D7" s="11" t="s">
        <v>293</v>
      </c>
      <c r="E7" s="11" t="s">
        <v>657</v>
      </c>
      <c r="F7" s="11" t="s">
        <v>77</v>
      </c>
      <c r="G7" s="25" t="s">
        <v>131</v>
      </c>
      <c r="H7" s="25" t="s">
        <v>131</v>
      </c>
      <c r="I7" s="24" t="s">
        <v>131</v>
      </c>
      <c r="J7" s="12"/>
      <c r="K7" s="24" t="s">
        <v>86</v>
      </c>
      <c r="L7" s="24" t="s">
        <v>294</v>
      </c>
      <c r="M7" s="24" t="s">
        <v>112</v>
      </c>
      <c r="N7" s="12"/>
      <c r="O7" s="24" t="s">
        <v>289</v>
      </c>
      <c r="P7" s="25" t="s">
        <v>153</v>
      </c>
      <c r="Q7" s="24" t="s">
        <v>153</v>
      </c>
      <c r="R7" s="12"/>
      <c r="S7" s="12" t="str">
        <f>"627,5"</f>
        <v>627,5</v>
      </c>
      <c r="T7" s="12" t="str">
        <f>"547,8075"</f>
        <v>547,8075</v>
      </c>
      <c r="U7" s="11" t="s">
        <v>295</v>
      </c>
    </row>
    <row r="8" spans="1:21">
      <c r="B8" s="5" t="s">
        <v>204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1.5" style="5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27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" style="5" customWidth="1"/>
    <col min="14" max="16384" width="9.1640625" style="3"/>
  </cols>
  <sheetData>
    <row r="1" spans="1:13" s="2" customFormat="1" ht="29" customHeight="1">
      <c r="A1" s="87" t="s">
        <v>623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11</v>
      </c>
      <c r="H3" s="83"/>
      <c r="I3" s="83"/>
      <c r="J3" s="83"/>
      <c r="K3" s="83" t="s">
        <v>319</v>
      </c>
      <c r="L3" s="83" t="s">
        <v>3</v>
      </c>
      <c r="M3" s="98" t="s">
        <v>2</v>
      </c>
    </row>
    <row r="4" spans="1:13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84"/>
      <c r="L4" s="84"/>
      <c r="M4" s="99"/>
    </row>
    <row r="5" spans="1:13" ht="16">
      <c r="A5" s="81" t="s">
        <v>247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14" t="s">
        <v>202</v>
      </c>
      <c r="B6" s="13" t="s">
        <v>383</v>
      </c>
      <c r="C6" s="13" t="s">
        <v>567</v>
      </c>
      <c r="D6" s="13" t="s">
        <v>384</v>
      </c>
      <c r="E6" s="13" t="s">
        <v>666</v>
      </c>
      <c r="F6" s="13" t="s">
        <v>214</v>
      </c>
      <c r="G6" s="27" t="s">
        <v>85</v>
      </c>
      <c r="H6" s="27" t="s">
        <v>50</v>
      </c>
      <c r="I6" s="26" t="s">
        <v>28</v>
      </c>
      <c r="J6" s="14"/>
      <c r="K6" s="14" t="str">
        <f>"60,0"</f>
        <v>60,0</v>
      </c>
      <c r="L6" s="14" t="str">
        <f>"117,3000"</f>
        <v>117,3000</v>
      </c>
      <c r="M6" s="13" t="s">
        <v>526</v>
      </c>
    </row>
    <row r="7" spans="1:13">
      <c r="B7" s="5" t="s">
        <v>204</v>
      </c>
    </row>
    <row r="8" spans="1:13" ht="16">
      <c r="A8" s="80" t="s">
        <v>79</v>
      </c>
      <c r="B8" s="80"/>
      <c r="C8" s="80"/>
      <c r="D8" s="80"/>
      <c r="E8" s="80"/>
      <c r="F8" s="80"/>
      <c r="G8" s="80"/>
      <c r="H8" s="80"/>
      <c r="I8" s="80"/>
      <c r="J8" s="80"/>
    </row>
    <row r="9" spans="1:13">
      <c r="A9" s="14" t="s">
        <v>202</v>
      </c>
      <c r="B9" s="13" t="s">
        <v>215</v>
      </c>
      <c r="C9" s="13" t="s">
        <v>216</v>
      </c>
      <c r="D9" s="13" t="s">
        <v>217</v>
      </c>
      <c r="E9" s="13" t="s">
        <v>657</v>
      </c>
      <c r="F9" s="13" t="s">
        <v>77</v>
      </c>
      <c r="G9" s="27" t="s">
        <v>129</v>
      </c>
      <c r="H9" s="27" t="s">
        <v>218</v>
      </c>
      <c r="I9" s="26" t="s">
        <v>219</v>
      </c>
      <c r="J9" s="14"/>
      <c r="K9" s="14" t="str">
        <f>"217,5"</f>
        <v>217,5</v>
      </c>
      <c r="L9" s="14" t="str">
        <f>"270,3090"</f>
        <v>270,3090</v>
      </c>
      <c r="M9" s="13" t="s">
        <v>652</v>
      </c>
    </row>
    <row r="10" spans="1:13">
      <c r="B10" s="5" t="s">
        <v>204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25"/>
  <sheetViews>
    <sheetView workbookViewId="0">
      <selection activeCell="E25" sqref="E25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1.6640625" style="5" customWidth="1"/>
    <col min="18" max="16384" width="9.1640625" style="3"/>
  </cols>
  <sheetData>
    <row r="1" spans="1:17" s="2" customFormat="1" ht="29" customHeight="1">
      <c r="A1" s="87" t="s">
        <v>641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90"/>
    </row>
    <row r="2" spans="1:17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4"/>
    </row>
    <row r="3" spans="1:17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654</v>
      </c>
      <c r="H3" s="83"/>
      <c r="I3" s="83"/>
      <c r="J3" s="83"/>
      <c r="K3" s="83" t="s">
        <v>532</v>
      </c>
      <c r="L3" s="83"/>
      <c r="M3" s="83"/>
      <c r="N3" s="83"/>
      <c r="O3" s="83" t="s">
        <v>1</v>
      </c>
      <c r="P3" s="83" t="s">
        <v>3</v>
      </c>
      <c r="Q3" s="98" t="s">
        <v>2</v>
      </c>
    </row>
    <row r="4" spans="1:17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84"/>
      <c r="P4" s="84"/>
      <c r="Q4" s="99"/>
    </row>
    <row r="5" spans="1:17" ht="16">
      <c r="A5" s="81" t="s">
        <v>79</v>
      </c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7">
      <c r="A6" s="8" t="s">
        <v>202</v>
      </c>
      <c r="B6" s="7" t="s">
        <v>326</v>
      </c>
      <c r="C6" s="7" t="s">
        <v>568</v>
      </c>
      <c r="D6" s="7" t="s">
        <v>327</v>
      </c>
      <c r="E6" s="7" t="s">
        <v>668</v>
      </c>
      <c r="F6" s="7" t="s">
        <v>588</v>
      </c>
      <c r="G6" s="21" t="s">
        <v>18</v>
      </c>
      <c r="H6" s="21" t="s">
        <v>19</v>
      </c>
      <c r="I6" s="21" t="s">
        <v>85</v>
      </c>
      <c r="J6" s="8"/>
      <c r="K6" s="21" t="s">
        <v>31</v>
      </c>
      <c r="L6" s="21" t="s">
        <v>49</v>
      </c>
      <c r="M6" s="21" t="s">
        <v>18</v>
      </c>
      <c r="N6" s="8"/>
      <c r="O6" s="8" t="str">
        <f>"100,0"</f>
        <v>100,0</v>
      </c>
      <c r="P6" s="8" t="str">
        <f>"81,3400"</f>
        <v>81,3400</v>
      </c>
      <c r="Q6" s="7" t="s">
        <v>652</v>
      </c>
    </row>
    <row r="7" spans="1:17">
      <c r="A7" s="10" t="s">
        <v>202</v>
      </c>
      <c r="B7" s="9" t="s">
        <v>465</v>
      </c>
      <c r="C7" s="9" t="s">
        <v>466</v>
      </c>
      <c r="D7" s="9" t="s">
        <v>467</v>
      </c>
      <c r="E7" s="9" t="s">
        <v>657</v>
      </c>
      <c r="F7" s="9" t="s">
        <v>436</v>
      </c>
      <c r="G7" s="23" t="s">
        <v>78</v>
      </c>
      <c r="H7" s="22" t="s">
        <v>78</v>
      </c>
      <c r="I7" s="22" t="s">
        <v>19</v>
      </c>
      <c r="J7" s="10"/>
      <c r="K7" s="22" t="s">
        <v>49</v>
      </c>
      <c r="L7" s="22" t="s">
        <v>18</v>
      </c>
      <c r="M7" s="22" t="s">
        <v>78</v>
      </c>
      <c r="N7" s="10"/>
      <c r="O7" s="10" t="str">
        <f>"97,5"</f>
        <v>97,5</v>
      </c>
      <c r="P7" s="10" t="str">
        <f>"77,4345"</f>
        <v>77,4345</v>
      </c>
      <c r="Q7" s="9" t="s">
        <v>468</v>
      </c>
    </row>
    <row r="8" spans="1:17">
      <c r="A8" s="12" t="s">
        <v>202</v>
      </c>
      <c r="B8" s="11" t="s">
        <v>450</v>
      </c>
      <c r="C8" s="11" t="s">
        <v>569</v>
      </c>
      <c r="D8" s="11" t="s">
        <v>451</v>
      </c>
      <c r="E8" s="11" t="s">
        <v>658</v>
      </c>
      <c r="F8" s="11" t="s">
        <v>77</v>
      </c>
      <c r="G8" s="24" t="s">
        <v>50</v>
      </c>
      <c r="H8" s="24" t="s">
        <v>42</v>
      </c>
      <c r="I8" s="24" t="s">
        <v>28</v>
      </c>
      <c r="J8" s="12"/>
      <c r="K8" s="24" t="s">
        <v>20</v>
      </c>
      <c r="L8" s="25" t="s">
        <v>50</v>
      </c>
      <c r="M8" s="25" t="s">
        <v>50</v>
      </c>
      <c r="N8" s="12"/>
      <c r="O8" s="12" t="str">
        <f>"117,5"</f>
        <v>117,5</v>
      </c>
      <c r="P8" s="12" t="str">
        <f>"90,4987"</f>
        <v>90,4987</v>
      </c>
      <c r="Q8" s="11" t="s">
        <v>652</v>
      </c>
    </row>
    <row r="9" spans="1:17">
      <c r="B9" s="5" t="s">
        <v>204</v>
      </c>
    </row>
    <row r="10" spans="1:17" ht="16">
      <c r="A10" s="80" t="s">
        <v>108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</row>
    <row r="11" spans="1:17">
      <c r="A11" s="8" t="s">
        <v>202</v>
      </c>
      <c r="B11" s="7" t="s">
        <v>427</v>
      </c>
      <c r="C11" s="7" t="s">
        <v>428</v>
      </c>
      <c r="D11" s="7" t="s">
        <v>429</v>
      </c>
      <c r="E11" s="7" t="s">
        <v>657</v>
      </c>
      <c r="F11" s="7" t="s">
        <v>601</v>
      </c>
      <c r="G11" s="20" t="s">
        <v>43</v>
      </c>
      <c r="H11" s="20" t="s">
        <v>430</v>
      </c>
      <c r="I11" s="21" t="s">
        <v>430</v>
      </c>
      <c r="J11" s="8"/>
      <c r="K11" s="21" t="s">
        <v>19</v>
      </c>
      <c r="L11" s="21" t="s">
        <v>20</v>
      </c>
      <c r="M11" s="21" t="s">
        <v>85</v>
      </c>
      <c r="N11" s="8"/>
      <c r="O11" s="8" t="str">
        <f>"153,0"</f>
        <v>153,0</v>
      </c>
      <c r="P11" s="8" t="str">
        <f>"106,7251"</f>
        <v>106,7251</v>
      </c>
      <c r="Q11" s="7" t="s">
        <v>652</v>
      </c>
    </row>
    <row r="12" spans="1:17">
      <c r="A12" s="12" t="s">
        <v>202</v>
      </c>
      <c r="B12" s="11" t="s">
        <v>469</v>
      </c>
      <c r="C12" s="11" t="s">
        <v>570</v>
      </c>
      <c r="D12" s="11" t="s">
        <v>457</v>
      </c>
      <c r="E12" s="11" t="s">
        <v>661</v>
      </c>
      <c r="F12" s="11" t="s">
        <v>436</v>
      </c>
      <c r="G12" s="25" t="s">
        <v>28</v>
      </c>
      <c r="H12" s="24" t="s">
        <v>33</v>
      </c>
      <c r="I12" s="24" t="s">
        <v>29</v>
      </c>
      <c r="J12" s="12"/>
      <c r="K12" s="24" t="s">
        <v>19</v>
      </c>
      <c r="L12" s="24" t="s">
        <v>85</v>
      </c>
      <c r="M12" s="24" t="s">
        <v>27</v>
      </c>
      <c r="N12" s="12"/>
      <c r="O12" s="12" t="str">
        <f>"127,5"</f>
        <v>127,5</v>
      </c>
      <c r="P12" s="12" t="str">
        <f>"108,8393"</f>
        <v>108,8393</v>
      </c>
      <c r="Q12" s="11" t="s">
        <v>468</v>
      </c>
    </row>
    <row r="13" spans="1:17">
      <c r="B13" s="5" t="s">
        <v>204</v>
      </c>
    </row>
    <row r="14" spans="1:17" ht="16">
      <c r="A14" s="80" t="s">
        <v>123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</row>
    <row r="15" spans="1:17">
      <c r="A15" s="14" t="s">
        <v>202</v>
      </c>
      <c r="B15" s="13" t="s">
        <v>470</v>
      </c>
      <c r="C15" s="13" t="s">
        <v>471</v>
      </c>
      <c r="D15" s="13" t="s">
        <v>472</v>
      </c>
      <c r="E15" s="13" t="s">
        <v>657</v>
      </c>
      <c r="F15" s="13" t="s">
        <v>436</v>
      </c>
      <c r="G15" s="27" t="s">
        <v>35</v>
      </c>
      <c r="H15" s="27" t="s">
        <v>40</v>
      </c>
      <c r="I15" s="27" t="s">
        <v>17</v>
      </c>
      <c r="J15" s="14"/>
      <c r="K15" s="27" t="s">
        <v>19</v>
      </c>
      <c r="L15" s="27" t="s">
        <v>85</v>
      </c>
      <c r="M15" s="27" t="s">
        <v>27</v>
      </c>
      <c r="N15" s="14"/>
      <c r="O15" s="14" t="str">
        <f>"137,5"</f>
        <v>137,5</v>
      </c>
      <c r="P15" s="14" t="str">
        <f>"88,9831"</f>
        <v>88,9831</v>
      </c>
      <c r="Q15" s="13" t="s">
        <v>652</v>
      </c>
    </row>
    <row r="16" spans="1:17">
      <c r="B16" s="5" t="s">
        <v>204</v>
      </c>
    </row>
    <row r="17" spans="1:17" ht="16">
      <c r="A17" s="80" t="s">
        <v>137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pans="1:17">
      <c r="A18" s="14" t="s">
        <v>202</v>
      </c>
      <c r="B18" s="13" t="s">
        <v>462</v>
      </c>
      <c r="C18" s="13" t="s">
        <v>463</v>
      </c>
      <c r="D18" s="13" t="s">
        <v>464</v>
      </c>
      <c r="E18" s="13" t="s">
        <v>657</v>
      </c>
      <c r="F18" s="13" t="s">
        <v>77</v>
      </c>
      <c r="G18" s="27" t="s">
        <v>35</v>
      </c>
      <c r="H18" s="27" t="s">
        <v>17</v>
      </c>
      <c r="I18" s="26" t="s">
        <v>41</v>
      </c>
      <c r="J18" s="14"/>
      <c r="K18" s="27" t="s">
        <v>29</v>
      </c>
      <c r="L18" s="27" t="s">
        <v>35</v>
      </c>
      <c r="M18" s="26" t="s">
        <v>17</v>
      </c>
      <c r="N18" s="14"/>
      <c r="O18" s="14" t="str">
        <f>"155,0"</f>
        <v>155,0</v>
      </c>
      <c r="P18" s="14" t="str">
        <f>"95,2552"</f>
        <v>95,2552</v>
      </c>
      <c r="Q18" s="13" t="s">
        <v>652</v>
      </c>
    </row>
    <row r="19" spans="1:17">
      <c r="B19" s="5" t="s">
        <v>204</v>
      </c>
    </row>
    <row r="20" spans="1:17" ht="16">
      <c r="A20" s="80" t="s">
        <v>167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</row>
    <row r="21" spans="1:17">
      <c r="A21" s="14" t="s">
        <v>202</v>
      </c>
      <c r="B21" s="13" t="s">
        <v>473</v>
      </c>
      <c r="C21" s="13" t="s">
        <v>474</v>
      </c>
      <c r="D21" s="13" t="s">
        <v>475</v>
      </c>
      <c r="E21" s="13" t="s">
        <v>657</v>
      </c>
      <c r="F21" s="13" t="s">
        <v>77</v>
      </c>
      <c r="G21" s="27" t="s">
        <v>22</v>
      </c>
      <c r="H21" s="27" t="s">
        <v>91</v>
      </c>
      <c r="I21" s="27" t="s">
        <v>23</v>
      </c>
      <c r="J21" s="14"/>
      <c r="K21" s="27" t="s">
        <v>34</v>
      </c>
      <c r="L21" s="27" t="s">
        <v>35</v>
      </c>
      <c r="M21" s="27" t="s">
        <v>40</v>
      </c>
      <c r="N21" s="14"/>
      <c r="O21" s="14" t="str">
        <f>"187,5"</f>
        <v>187,5</v>
      </c>
      <c r="P21" s="14" t="str">
        <f>"111,3750"</f>
        <v>111,3750</v>
      </c>
      <c r="Q21" s="13" t="s">
        <v>652</v>
      </c>
    </row>
    <row r="22" spans="1:17">
      <c r="B22" s="5" t="s">
        <v>204</v>
      </c>
    </row>
    <row r="23" spans="1:17" ht="16">
      <c r="A23" s="80" t="s">
        <v>291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</row>
    <row r="24" spans="1:17">
      <c r="A24" s="14" t="s">
        <v>202</v>
      </c>
      <c r="B24" s="13" t="s">
        <v>476</v>
      </c>
      <c r="C24" s="13" t="s">
        <v>477</v>
      </c>
      <c r="D24" s="13" t="s">
        <v>478</v>
      </c>
      <c r="E24" s="13" t="s">
        <v>657</v>
      </c>
      <c r="F24" s="13" t="s">
        <v>77</v>
      </c>
      <c r="G24" s="27" t="s">
        <v>91</v>
      </c>
      <c r="H24" s="27" t="s">
        <v>67</v>
      </c>
      <c r="I24" s="27" t="s">
        <v>55</v>
      </c>
      <c r="J24" s="14"/>
      <c r="K24" s="27" t="s">
        <v>33</v>
      </c>
      <c r="L24" s="27" t="s">
        <v>34</v>
      </c>
      <c r="M24" s="26" t="s">
        <v>35</v>
      </c>
      <c r="N24" s="14"/>
      <c r="O24" s="14" t="str">
        <f>"190,0"</f>
        <v>190,0</v>
      </c>
      <c r="P24" s="14" t="str">
        <f>"105,6400"</f>
        <v>105,6400</v>
      </c>
      <c r="Q24" s="13" t="s">
        <v>652</v>
      </c>
    </row>
    <row r="25" spans="1:17">
      <c r="B25" s="5" t="s">
        <v>204</v>
      </c>
    </row>
  </sheetData>
  <mergeCells count="18">
    <mergeCell ref="A1:Q2"/>
    <mergeCell ref="A3:A4"/>
    <mergeCell ref="C3:C4"/>
    <mergeCell ref="D3:D4"/>
    <mergeCell ref="E3:E4"/>
    <mergeCell ref="F3:F4"/>
    <mergeCell ref="G3:J3"/>
    <mergeCell ref="K3:N3"/>
    <mergeCell ref="B3:B4"/>
    <mergeCell ref="O3:O4"/>
    <mergeCell ref="P3:P4"/>
    <mergeCell ref="Q3:Q4"/>
    <mergeCell ref="A23:N23"/>
    <mergeCell ref="A5:N5"/>
    <mergeCell ref="A10:N10"/>
    <mergeCell ref="A14:N14"/>
    <mergeCell ref="A17:N17"/>
    <mergeCell ref="A20:N2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8.6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9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87" t="s">
        <v>642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420</v>
      </c>
      <c r="H3" s="83"/>
      <c r="I3" s="83"/>
      <c r="J3" s="83"/>
      <c r="K3" s="83" t="s">
        <v>319</v>
      </c>
      <c r="L3" s="83" t="s">
        <v>3</v>
      </c>
      <c r="M3" s="98" t="s">
        <v>2</v>
      </c>
    </row>
    <row r="4" spans="1:13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84"/>
      <c r="L4" s="84"/>
      <c r="M4" s="99"/>
    </row>
    <row r="5" spans="1:13" ht="16">
      <c r="A5" s="81" t="s">
        <v>108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14" t="s">
        <v>202</v>
      </c>
      <c r="B6" s="13" t="s">
        <v>427</v>
      </c>
      <c r="C6" s="13" t="s">
        <v>428</v>
      </c>
      <c r="D6" s="13" t="s">
        <v>429</v>
      </c>
      <c r="E6" s="13" t="s">
        <v>657</v>
      </c>
      <c r="F6" s="13" t="s">
        <v>601</v>
      </c>
      <c r="G6" s="26" t="s">
        <v>43</v>
      </c>
      <c r="H6" s="26" t="s">
        <v>430</v>
      </c>
      <c r="I6" s="27" t="s">
        <v>430</v>
      </c>
      <c r="J6" s="14"/>
      <c r="K6" s="14" t="str">
        <f>"98,0"</f>
        <v>98,0</v>
      </c>
      <c r="L6" s="14" t="str">
        <f>"68,3599"</f>
        <v>68,3599</v>
      </c>
      <c r="M6" s="13" t="s">
        <v>652</v>
      </c>
    </row>
    <row r="7" spans="1:13">
      <c r="B7" s="5" t="s">
        <v>204</v>
      </c>
    </row>
    <row r="8" spans="1:13" ht="16">
      <c r="A8" s="80" t="s">
        <v>173</v>
      </c>
      <c r="B8" s="80"/>
      <c r="C8" s="80"/>
      <c r="D8" s="80"/>
      <c r="E8" s="80"/>
      <c r="F8" s="80"/>
      <c r="G8" s="80"/>
      <c r="H8" s="80"/>
      <c r="I8" s="80"/>
      <c r="J8" s="80"/>
    </row>
    <row r="9" spans="1:13">
      <c r="A9" s="14" t="s">
        <v>202</v>
      </c>
      <c r="B9" s="13" t="s">
        <v>431</v>
      </c>
      <c r="C9" s="13" t="s">
        <v>432</v>
      </c>
      <c r="D9" s="13" t="s">
        <v>433</v>
      </c>
      <c r="E9" s="13" t="s">
        <v>657</v>
      </c>
      <c r="F9" s="13" t="s">
        <v>77</v>
      </c>
      <c r="G9" s="27" t="s">
        <v>73</v>
      </c>
      <c r="H9" s="27" t="s">
        <v>74</v>
      </c>
      <c r="I9" s="27" t="s">
        <v>246</v>
      </c>
      <c r="J9" s="14"/>
      <c r="K9" s="14" t="str">
        <f>"95,0"</f>
        <v>95,0</v>
      </c>
      <c r="L9" s="14" t="str">
        <f>"55,1332"</f>
        <v>55,1332</v>
      </c>
      <c r="M9" s="13" t="s">
        <v>652</v>
      </c>
    </row>
    <row r="10" spans="1:13">
      <c r="B10" s="5" t="s">
        <v>204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11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0.3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9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11.6640625" style="6" customWidth="1"/>
    <col min="13" max="13" width="20" style="5" customWidth="1"/>
    <col min="14" max="16384" width="9.1640625" style="3"/>
  </cols>
  <sheetData>
    <row r="1" spans="1:13" s="2" customFormat="1" ht="29" customHeight="1">
      <c r="A1" s="87" t="s">
        <v>643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420</v>
      </c>
      <c r="H3" s="83"/>
      <c r="I3" s="83"/>
      <c r="J3" s="83"/>
      <c r="K3" s="83" t="s">
        <v>319</v>
      </c>
      <c r="L3" s="83" t="s">
        <v>3</v>
      </c>
      <c r="M3" s="98" t="s">
        <v>2</v>
      </c>
    </row>
    <row r="4" spans="1:13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84"/>
      <c r="L4" s="84"/>
      <c r="M4" s="99"/>
    </row>
    <row r="5" spans="1:13" ht="16">
      <c r="A5" s="81" t="s">
        <v>108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14" t="s">
        <v>202</v>
      </c>
      <c r="B6" s="13" t="s">
        <v>421</v>
      </c>
      <c r="C6" s="13" t="s">
        <v>422</v>
      </c>
      <c r="D6" s="13" t="s">
        <v>330</v>
      </c>
      <c r="E6" s="13" t="s">
        <v>659</v>
      </c>
      <c r="F6" s="13" t="s">
        <v>423</v>
      </c>
      <c r="G6" s="27" t="s">
        <v>19</v>
      </c>
      <c r="H6" s="27" t="s">
        <v>85</v>
      </c>
      <c r="I6" s="26" t="s">
        <v>27</v>
      </c>
      <c r="J6" s="14"/>
      <c r="K6" s="14" t="str">
        <f>"55,0"</f>
        <v>55,0</v>
      </c>
      <c r="L6" s="14" t="str">
        <f>"67,0941"</f>
        <v>67,0941</v>
      </c>
      <c r="M6" s="13" t="s">
        <v>652</v>
      </c>
    </row>
    <row r="7" spans="1:13">
      <c r="B7" s="5" t="s">
        <v>204</v>
      </c>
    </row>
    <row r="8" spans="1:13" ht="16">
      <c r="A8" s="80" t="s">
        <v>167</v>
      </c>
      <c r="B8" s="80"/>
      <c r="C8" s="80"/>
      <c r="D8" s="80"/>
      <c r="E8" s="80"/>
      <c r="F8" s="80"/>
      <c r="G8" s="80"/>
      <c r="H8" s="80"/>
      <c r="I8" s="80"/>
      <c r="J8" s="80"/>
    </row>
    <row r="9" spans="1:13">
      <c r="A9" s="14" t="s">
        <v>202</v>
      </c>
      <c r="B9" s="13" t="s">
        <v>424</v>
      </c>
      <c r="C9" s="13" t="s">
        <v>425</v>
      </c>
      <c r="D9" s="13" t="s">
        <v>426</v>
      </c>
      <c r="E9" s="13" t="s">
        <v>659</v>
      </c>
      <c r="F9" s="13" t="s">
        <v>77</v>
      </c>
      <c r="G9" s="27" t="s">
        <v>85</v>
      </c>
      <c r="H9" s="27" t="s">
        <v>50</v>
      </c>
      <c r="I9" s="27" t="s">
        <v>42</v>
      </c>
      <c r="J9" s="14"/>
      <c r="K9" s="14" t="str">
        <f>"62,5"</f>
        <v>62,5</v>
      </c>
      <c r="L9" s="14" t="str">
        <f>"53,9400"</f>
        <v>53,9400</v>
      </c>
      <c r="M9" s="13" t="s">
        <v>652</v>
      </c>
    </row>
    <row r="10" spans="1:13">
      <c r="B10" s="5" t="s">
        <v>204</v>
      </c>
    </row>
    <row r="11" spans="1:13">
      <c r="B11" s="5" t="s">
        <v>204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26"/>
  <sheetViews>
    <sheetView workbookViewId="0">
      <selection activeCell="E26" sqref="E26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3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10" style="6" customWidth="1"/>
    <col min="13" max="13" width="21.1640625" style="5" customWidth="1"/>
    <col min="14" max="16384" width="9.1640625" style="3"/>
  </cols>
  <sheetData>
    <row r="1" spans="1:13" s="2" customFormat="1" ht="29" customHeight="1">
      <c r="A1" s="87" t="s">
        <v>644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654</v>
      </c>
      <c r="H3" s="83"/>
      <c r="I3" s="83"/>
      <c r="J3" s="83"/>
      <c r="K3" s="83" t="s">
        <v>319</v>
      </c>
      <c r="L3" s="83" t="s">
        <v>3</v>
      </c>
      <c r="M3" s="98" t="s">
        <v>2</v>
      </c>
    </row>
    <row r="4" spans="1:13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84"/>
      <c r="L4" s="84"/>
      <c r="M4" s="99"/>
    </row>
    <row r="5" spans="1:13" ht="16">
      <c r="A5" s="81" t="s">
        <v>241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14" t="s">
        <v>202</v>
      </c>
      <c r="B6" s="13" t="s">
        <v>439</v>
      </c>
      <c r="C6" s="13" t="s">
        <v>571</v>
      </c>
      <c r="D6" s="13" t="s">
        <v>440</v>
      </c>
      <c r="E6" s="13" t="s">
        <v>668</v>
      </c>
      <c r="F6" s="13" t="s">
        <v>299</v>
      </c>
      <c r="G6" s="26" t="s">
        <v>441</v>
      </c>
      <c r="H6" s="27" t="s">
        <v>441</v>
      </c>
      <c r="I6" s="14"/>
      <c r="J6" s="14"/>
      <c r="K6" s="14" t="str">
        <f>"22,5"</f>
        <v>22,5</v>
      </c>
      <c r="L6" s="14" t="str">
        <f>"30,2333"</f>
        <v>30,2333</v>
      </c>
      <c r="M6" s="13" t="s">
        <v>442</v>
      </c>
    </row>
    <row r="7" spans="1:13">
      <c r="B7" s="5" t="s">
        <v>204</v>
      </c>
    </row>
    <row r="8" spans="1:13" ht="16">
      <c r="A8" s="80" t="s">
        <v>12</v>
      </c>
      <c r="B8" s="80"/>
      <c r="C8" s="80"/>
      <c r="D8" s="80"/>
      <c r="E8" s="80"/>
      <c r="F8" s="80"/>
      <c r="G8" s="80"/>
      <c r="H8" s="80"/>
      <c r="I8" s="80"/>
      <c r="J8" s="80"/>
    </row>
    <row r="9" spans="1:13">
      <c r="A9" s="14" t="s">
        <v>202</v>
      </c>
      <c r="B9" s="13" t="s">
        <v>443</v>
      </c>
      <c r="C9" s="13" t="s">
        <v>444</v>
      </c>
      <c r="D9" s="13" t="s">
        <v>445</v>
      </c>
      <c r="E9" s="13" t="s">
        <v>657</v>
      </c>
      <c r="F9" s="13" t="s">
        <v>26</v>
      </c>
      <c r="G9" s="27" t="s">
        <v>255</v>
      </c>
      <c r="H9" s="27" t="s">
        <v>30</v>
      </c>
      <c r="I9" s="26" t="s">
        <v>48</v>
      </c>
      <c r="J9" s="14"/>
      <c r="K9" s="14" t="str">
        <f>"32,5"</f>
        <v>32,5</v>
      </c>
      <c r="L9" s="14" t="str">
        <f>"34,1250"</f>
        <v>34,1250</v>
      </c>
      <c r="M9" s="13" t="s">
        <v>36</v>
      </c>
    </row>
    <row r="10" spans="1:13">
      <c r="B10" s="5" t="s">
        <v>204</v>
      </c>
    </row>
    <row r="11" spans="1:13" ht="16">
      <c r="A11" s="80" t="s">
        <v>79</v>
      </c>
      <c r="B11" s="80"/>
      <c r="C11" s="80"/>
      <c r="D11" s="80"/>
      <c r="E11" s="80"/>
      <c r="F11" s="80"/>
      <c r="G11" s="80"/>
      <c r="H11" s="80"/>
      <c r="I11" s="80"/>
      <c r="J11" s="80"/>
    </row>
    <row r="12" spans="1:13">
      <c r="A12" s="8" t="s">
        <v>202</v>
      </c>
      <c r="B12" s="7" t="s">
        <v>446</v>
      </c>
      <c r="C12" s="7" t="s">
        <v>447</v>
      </c>
      <c r="D12" s="7" t="s">
        <v>448</v>
      </c>
      <c r="E12" s="7" t="s">
        <v>657</v>
      </c>
      <c r="F12" s="7" t="s">
        <v>449</v>
      </c>
      <c r="G12" s="21" t="s">
        <v>28</v>
      </c>
      <c r="H12" s="21" t="s">
        <v>33</v>
      </c>
      <c r="I12" s="20" t="s">
        <v>29</v>
      </c>
      <c r="J12" s="8"/>
      <c r="K12" s="8" t="str">
        <f>"67,5"</f>
        <v>67,5</v>
      </c>
      <c r="L12" s="8" t="str">
        <f>"50,7735"</f>
        <v>50,7735</v>
      </c>
      <c r="M12" s="7" t="s">
        <v>652</v>
      </c>
    </row>
    <row r="13" spans="1:13">
      <c r="A13" s="10" t="s">
        <v>202</v>
      </c>
      <c r="B13" s="9" t="s">
        <v>450</v>
      </c>
      <c r="C13" s="9" t="s">
        <v>569</v>
      </c>
      <c r="D13" s="9" t="s">
        <v>451</v>
      </c>
      <c r="E13" s="9" t="s">
        <v>658</v>
      </c>
      <c r="F13" s="9" t="s">
        <v>77</v>
      </c>
      <c r="G13" s="22" t="s">
        <v>20</v>
      </c>
      <c r="H13" s="23" t="s">
        <v>50</v>
      </c>
      <c r="I13" s="23" t="s">
        <v>50</v>
      </c>
      <c r="J13" s="10"/>
      <c r="K13" s="10" t="str">
        <f>"52,5"</f>
        <v>52,5</v>
      </c>
      <c r="L13" s="10" t="str">
        <f>"40,4356"</f>
        <v>40,4356</v>
      </c>
      <c r="M13" s="9" t="s">
        <v>652</v>
      </c>
    </row>
    <row r="14" spans="1:13">
      <c r="A14" s="12" t="s">
        <v>203</v>
      </c>
      <c r="B14" s="11" t="s">
        <v>452</v>
      </c>
      <c r="C14" s="11" t="s">
        <v>572</v>
      </c>
      <c r="D14" s="11" t="s">
        <v>453</v>
      </c>
      <c r="E14" s="11" t="s">
        <v>658</v>
      </c>
      <c r="F14" s="11" t="s">
        <v>454</v>
      </c>
      <c r="G14" s="24" t="s">
        <v>49</v>
      </c>
      <c r="H14" s="24" t="s">
        <v>19</v>
      </c>
      <c r="I14" s="25" t="s">
        <v>85</v>
      </c>
      <c r="J14" s="12"/>
      <c r="K14" s="12" t="str">
        <f>"50,0"</f>
        <v>50,0</v>
      </c>
      <c r="L14" s="12" t="str">
        <f>"40,4065"</f>
        <v>40,4065</v>
      </c>
      <c r="M14" s="11" t="s">
        <v>652</v>
      </c>
    </row>
    <row r="15" spans="1:13">
      <c r="B15" s="5" t="s">
        <v>204</v>
      </c>
    </row>
    <row r="16" spans="1:13" ht="16">
      <c r="A16" s="80" t="s">
        <v>108</v>
      </c>
      <c r="B16" s="80"/>
      <c r="C16" s="80"/>
      <c r="D16" s="80"/>
      <c r="E16" s="80"/>
      <c r="F16" s="80"/>
      <c r="G16" s="80"/>
      <c r="H16" s="80"/>
      <c r="I16" s="80"/>
      <c r="J16" s="80"/>
    </row>
    <row r="17" spans="1:13">
      <c r="A17" s="14" t="s">
        <v>202</v>
      </c>
      <c r="B17" s="13" t="s">
        <v>455</v>
      </c>
      <c r="C17" s="13" t="s">
        <v>456</v>
      </c>
      <c r="D17" s="13" t="s">
        <v>457</v>
      </c>
      <c r="E17" s="13" t="s">
        <v>657</v>
      </c>
      <c r="F17" s="13" t="s">
        <v>135</v>
      </c>
      <c r="G17" s="27" t="s">
        <v>50</v>
      </c>
      <c r="H17" s="27" t="s">
        <v>28</v>
      </c>
      <c r="I17" s="26" t="s">
        <v>29</v>
      </c>
      <c r="J17" s="14"/>
      <c r="K17" s="14" t="str">
        <f>"65,0"</f>
        <v>65,0</v>
      </c>
      <c r="L17" s="14" t="str">
        <f>"45,2953"</f>
        <v>45,2953</v>
      </c>
      <c r="M17" s="13" t="s">
        <v>602</v>
      </c>
    </row>
    <row r="18" spans="1:13">
      <c r="B18" s="5" t="s">
        <v>204</v>
      </c>
    </row>
    <row r="19" spans="1:13" ht="16">
      <c r="A19" s="80" t="s">
        <v>123</v>
      </c>
      <c r="B19" s="80"/>
      <c r="C19" s="80"/>
      <c r="D19" s="80"/>
      <c r="E19" s="80"/>
      <c r="F19" s="80"/>
      <c r="G19" s="80"/>
      <c r="H19" s="80"/>
      <c r="I19" s="80"/>
      <c r="J19" s="80"/>
    </row>
    <row r="20" spans="1:13">
      <c r="A20" s="14" t="s">
        <v>202</v>
      </c>
      <c r="B20" s="13" t="s">
        <v>458</v>
      </c>
      <c r="C20" s="13" t="s">
        <v>459</v>
      </c>
      <c r="D20" s="13" t="s">
        <v>460</v>
      </c>
      <c r="E20" s="13" t="s">
        <v>657</v>
      </c>
      <c r="F20" s="13" t="s">
        <v>461</v>
      </c>
      <c r="G20" s="27" t="s">
        <v>20</v>
      </c>
      <c r="H20" s="26" t="s">
        <v>50</v>
      </c>
      <c r="I20" s="26" t="s">
        <v>50</v>
      </c>
      <c r="J20" s="14"/>
      <c r="K20" s="14" t="str">
        <f>"52,5"</f>
        <v>52,5</v>
      </c>
      <c r="L20" s="14" t="str">
        <f>"34,0856"</f>
        <v>34,0856</v>
      </c>
      <c r="M20" s="13" t="s">
        <v>603</v>
      </c>
    </row>
    <row r="21" spans="1:13">
      <c r="B21" s="5" t="s">
        <v>204</v>
      </c>
    </row>
    <row r="22" spans="1:13" ht="16">
      <c r="A22" s="80" t="s">
        <v>137</v>
      </c>
      <c r="B22" s="80"/>
      <c r="C22" s="80"/>
      <c r="D22" s="80"/>
      <c r="E22" s="80"/>
      <c r="F22" s="80"/>
      <c r="G22" s="80"/>
      <c r="H22" s="80"/>
      <c r="I22" s="80"/>
      <c r="J22" s="80"/>
    </row>
    <row r="23" spans="1:13">
      <c r="A23" s="8" t="s">
        <v>202</v>
      </c>
      <c r="B23" s="7" t="s">
        <v>347</v>
      </c>
      <c r="C23" s="7" t="s">
        <v>348</v>
      </c>
      <c r="D23" s="7" t="s">
        <v>349</v>
      </c>
      <c r="E23" s="7" t="s">
        <v>657</v>
      </c>
      <c r="F23" s="7" t="s">
        <v>350</v>
      </c>
      <c r="G23" s="21" t="s">
        <v>29</v>
      </c>
      <c r="H23" s="21" t="s">
        <v>35</v>
      </c>
      <c r="I23" s="21" t="s">
        <v>40</v>
      </c>
      <c r="J23" s="8"/>
      <c r="K23" s="8" t="str">
        <f>"77,5"</f>
        <v>77,5</v>
      </c>
      <c r="L23" s="8" t="str">
        <f>"47,5966"</f>
        <v>47,5966</v>
      </c>
      <c r="M23" s="7" t="s">
        <v>652</v>
      </c>
    </row>
    <row r="24" spans="1:13">
      <c r="A24" s="10" t="s">
        <v>203</v>
      </c>
      <c r="B24" s="9" t="s">
        <v>462</v>
      </c>
      <c r="C24" s="9" t="s">
        <v>463</v>
      </c>
      <c r="D24" s="9" t="s">
        <v>464</v>
      </c>
      <c r="E24" s="9" t="s">
        <v>657</v>
      </c>
      <c r="F24" s="9" t="s">
        <v>77</v>
      </c>
      <c r="G24" s="22" t="s">
        <v>29</v>
      </c>
      <c r="H24" s="22" t="s">
        <v>35</v>
      </c>
      <c r="I24" s="23" t="s">
        <v>17</v>
      </c>
      <c r="J24" s="10"/>
      <c r="K24" s="10" t="str">
        <f>"75,0"</f>
        <v>75,0</v>
      </c>
      <c r="L24" s="10" t="str">
        <f>"46,0912"</f>
        <v>46,0912</v>
      </c>
      <c r="M24" s="9" t="s">
        <v>652</v>
      </c>
    </row>
    <row r="25" spans="1:13">
      <c r="A25" s="12" t="s">
        <v>205</v>
      </c>
      <c r="B25" s="11" t="s">
        <v>399</v>
      </c>
      <c r="C25" s="11" t="s">
        <v>400</v>
      </c>
      <c r="D25" s="11" t="s">
        <v>401</v>
      </c>
      <c r="E25" s="11" t="s">
        <v>657</v>
      </c>
      <c r="F25" s="11" t="s">
        <v>402</v>
      </c>
      <c r="G25" s="24" t="s">
        <v>19</v>
      </c>
      <c r="H25" s="24" t="s">
        <v>27</v>
      </c>
      <c r="I25" s="25" t="s">
        <v>28</v>
      </c>
      <c r="J25" s="12"/>
      <c r="K25" s="12" t="str">
        <f>"57,5"</f>
        <v>57,5</v>
      </c>
      <c r="L25" s="12" t="str">
        <f>"35,5839"</f>
        <v>35,5839</v>
      </c>
      <c r="M25" s="11" t="s">
        <v>403</v>
      </c>
    </row>
    <row r="26" spans="1:13">
      <c r="B26" s="5" t="s">
        <v>204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2:J22"/>
    <mergeCell ref="A5:J5"/>
    <mergeCell ref="A8:J8"/>
    <mergeCell ref="A11:J11"/>
    <mergeCell ref="A16:J16"/>
    <mergeCell ref="A19:J1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10" width="5.5" style="6" customWidth="1"/>
    <col min="11" max="11" width="12.6640625" style="6" customWidth="1"/>
    <col min="12" max="12" width="7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87" t="s">
        <v>645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654</v>
      </c>
      <c r="H3" s="83"/>
      <c r="I3" s="83"/>
      <c r="J3" s="83"/>
      <c r="K3" s="83" t="s">
        <v>319</v>
      </c>
      <c r="L3" s="83" t="s">
        <v>3</v>
      </c>
      <c r="M3" s="98" t="s">
        <v>2</v>
      </c>
    </row>
    <row r="4" spans="1:13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84"/>
      <c r="L4" s="84"/>
      <c r="M4" s="99"/>
    </row>
    <row r="5" spans="1:13" ht="16">
      <c r="A5" s="81" t="s">
        <v>123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14" t="s">
        <v>202</v>
      </c>
      <c r="B6" s="13" t="s">
        <v>434</v>
      </c>
      <c r="C6" s="13" t="s">
        <v>573</v>
      </c>
      <c r="D6" s="13" t="s">
        <v>435</v>
      </c>
      <c r="E6" s="13" t="s">
        <v>661</v>
      </c>
      <c r="F6" s="13" t="s">
        <v>436</v>
      </c>
      <c r="G6" s="27" t="s">
        <v>19</v>
      </c>
      <c r="H6" s="27" t="s">
        <v>85</v>
      </c>
      <c r="I6" s="26" t="s">
        <v>50</v>
      </c>
      <c r="J6" s="14"/>
      <c r="K6" s="14" t="str">
        <f>"55,0"</f>
        <v>55,0</v>
      </c>
      <c r="L6" s="14" t="str">
        <f>"47,1812"</f>
        <v>47,1812</v>
      </c>
      <c r="M6" s="13" t="s">
        <v>652</v>
      </c>
    </row>
    <row r="7" spans="1:13">
      <c r="B7" s="5" t="s">
        <v>204</v>
      </c>
    </row>
    <row r="8" spans="1:13" ht="16">
      <c r="A8" s="80" t="s">
        <v>167</v>
      </c>
      <c r="B8" s="80"/>
      <c r="C8" s="80"/>
      <c r="D8" s="80"/>
      <c r="E8" s="80"/>
      <c r="F8" s="80"/>
      <c r="G8" s="80"/>
      <c r="H8" s="80"/>
      <c r="I8" s="80"/>
      <c r="J8" s="80"/>
    </row>
    <row r="9" spans="1:13">
      <c r="A9" s="14" t="s">
        <v>202</v>
      </c>
      <c r="B9" s="13" t="s">
        <v>437</v>
      </c>
      <c r="C9" s="13" t="s">
        <v>574</v>
      </c>
      <c r="D9" s="13" t="s">
        <v>438</v>
      </c>
      <c r="E9" s="13" t="s">
        <v>658</v>
      </c>
      <c r="F9" s="13" t="s">
        <v>77</v>
      </c>
      <c r="G9" s="27" t="s">
        <v>18</v>
      </c>
      <c r="H9" s="26" t="s">
        <v>78</v>
      </c>
      <c r="I9" s="26" t="s">
        <v>78</v>
      </c>
      <c r="J9" s="14"/>
      <c r="K9" s="14" t="str">
        <f>"45,0"</f>
        <v>45,0</v>
      </c>
      <c r="L9" s="14" t="str">
        <f>"28,3165"</f>
        <v>28,3165</v>
      </c>
      <c r="M9" s="13" t="s">
        <v>652</v>
      </c>
    </row>
    <row r="10" spans="1:13">
      <c r="B10" s="5" t="s">
        <v>204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14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9.33203125" style="5" bestFit="1" customWidth="1"/>
    <col min="7" max="9" width="5.5" style="6" customWidth="1"/>
    <col min="10" max="10" width="4.83203125" style="6" customWidth="1"/>
    <col min="11" max="11" width="12.6640625" style="6" customWidth="1"/>
    <col min="12" max="12" width="12.5" style="75" customWidth="1"/>
    <col min="13" max="13" width="7.83203125" style="6" bestFit="1" customWidth="1"/>
    <col min="14" max="14" width="9.5" style="6" bestFit="1" customWidth="1"/>
    <col min="15" max="15" width="21" style="5" customWidth="1"/>
    <col min="16" max="16384" width="9.1640625" style="3"/>
  </cols>
  <sheetData>
    <row r="1" spans="1:15" s="2" customFormat="1" ht="29" customHeight="1">
      <c r="A1" s="87" t="s">
        <v>646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90"/>
    </row>
    <row r="2" spans="1:15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4"/>
    </row>
    <row r="3" spans="1:15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10</v>
      </c>
      <c r="H3" s="83"/>
      <c r="I3" s="83"/>
      <c r="J3" s="83"/>
      <c r="K3" s="83" t="s">
        <v>624</v>
      </c>
      <c r="L3" s="83"/>
      <c r="M3" s="83" t="s">
        <v>1</v>
      </c>
      <c r="N3" s="83" t="s">
        <v>3</v>
      </c>
      <c r="O3" s="98" t="s">
        <v>2</v>
      </c>
    </row>
    <row r="4" spans="1:15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72" t="s">
        <v>7</v>
      </c>
      <c r="M4" s="84"/>
      <c r="N4" s="84"/>
      <c r="O4" s="99"/>
    </row>
    <row r="5" spans="1:15" ht="16">
      <c r="A5" s="81" t="s">
        <v>480</v>
      </c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5">
      <c r="A6" s="14" t="s">
        <v>202</v>
      </c>
      <c r="B6" s="13" t="s">
        <v>481</v>
      </c>
      <c r="C6" s="13" t="s">
        <v>575</v>
      </c>
      <c r="D6" s="13" t="s">
        <v>482</v>
      </c>
      <c r="E6" s="13" t="s">
        <v>667</v>
      </c>
      <c r="F6" s="13" t="s">
        <v>483</v>
      </c>
      <c r="G6" s="27" t="s">
        <v>50</v>
      </c>
      <c r="H6" s="27" t="s">
        <v>28</v>
      </c>
      <c r="I6" s="27" t="s">
        <v>29</v>
      </c>
      <c r="J6" s="14"/>
      <c r="K6" s="14" t="s">
        <v>32</v>
      </c>
      <c r="L6" s="76">
        <v>70</v>
      </c>
      <c r="M6" s="14" t="str">
        <f>"140,0"</f>
        <v>140,0</v>
      </c>
      <c r="N6" s="14" t="str">
        <f>"4847,4860"</f>
        <v>4847,4860</v>
      </c>
      <c r="O6" s="13" t="s">
        <v>652</v>
      </c>
    </row>
    <row r="7" spans="1:15">
      <c r="B7" s="5" t="s">
        <v>204</v>
      </c>
    </row>
    <row r="8" spans="1:15" ht="16">
      <c r="A8" s="80" t="s">
        <v>167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1:15">
      <c r="A9" s="14" t="s">
        <v>202</v>
      </c>
      <c r="B9" s="13" t="s">
        <v>484</v>
      </c>
      <c r="C9" s="13" t="s">
        <v>485</v>
      </c>
      <c r="D9" s="13" t="s">
        <v>486</v>
      </c>
      <c r="E9" s="13" t="s">
        <v>657</v>
      </c>
      <c r="F9" s="13" t="s">
        <v>487</v>
      </c>
      <c r="G9" s="27" t="s">
        <v>120</v>
      </c>
      <c r="H9" s="27" t="s">
        <v>136</v>
      </c>
      <c r="I9" s="27" t="s">
        <v>98</v>
      </c>
      <c r="J9" s="14"/>
      <c r="K9" s="14" t="s">
        <v>21</v>
      </c>
      <c r="L9" s="76">
        <v>23</v>
      </c>
      <c r="M9" s="14" t="str">
        <f>"188,0"</f>
        <v>188,0</v>
      </c>
      <c r="N9" s="14" t="str">
        <f>"6970,4307"</f>
        <v>6970,4307</v>
      </c>
      <c r="O9" s="13" t="s">
        <v>652</v>
      </c>
    </row>
    <row r="10" spans="1:15">
      <c r="B10" s="5" t="s">
        <v>204</v>
      </c>
    </row>
    <row r="11" spans="1:15" ht="16">
      <c r="A11" s="80" t="s">
        <v>173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spans="1:15">
      <c r="A12" s="8" t="s">
        <v>202</v>
      </c>
      <c r="B12" s="7" t="s">
        <v>488</v>
      </c>
      <c r="C12" s="7" t="s">
        <v>489</v>
      </c>
      <c r="D12" s="7" t="s">
        <v>490</v>
      </c>
      <c r="E12" s="7" t="s">
        <v>657</v>
      </c>
      <c r="F12" s="7" t="s">
        <v>77</v>
      </c>
      <c r="G12" s="20" t="s">
        <v>96</v>
      </c>
      <c r="H12" s="21" t="s">
        <v>96</v>
      </c>
      <c r="I12" s="21" t="s">
        <v>112</v>
      </c>
      <c r="J12" s="8"/>
      <c r="K12" s="8" t="s">
        <v>23</v>
      </c>
      <c r="L12" s="73">
        <v>14</v>
      </c>
      <c r="M12" s="8" t="str">
        <f>"156,5"</f>
        <v>156,5</v>
      </c>
      <c r="N12" s="8" t="str">
        <f>"5473,4399"</f>
        <v>5473,4399</v>
      </c>
      <c r="O12" s="7" t="s">
        <v>652</v>
      </c>
    </row>
    <row r="13" spans="1:15">
      <c r="A13" s="12" t="s">
        <v>202</v>
      </c>
      <c r="B13" s="11" t="s">
        <v>491</v>
      </c>
      <c r="C13" s="11" t="s">
        <v>576</v>
      </c>
      <c r="D13" s="11" t="s">
        <v>492</v>
      </c>
      <c r="E13" s="11" t="s">
        <v>658</v>
      </c>
      <c r="F13" s="11" t="s">
        <v>493</v>
      </c>
      <c r="G13" s="24" t="s">
        <v>97</v>
      </c>
      <c r="H13" s="24" t="s">
        <v>122</v>
      </c>
      <c r="I13" s="25" t="s">
        <v>99</v>
      </c>
      <c r="J13" s="12"/>
      <c r="K13" s="12" t="s">
        <v>23</v>
      </c>
      <c r="L13" s="74">
        <v>23</v>
      </c>
      <c r="M13" s="12" t="str">
        <f>"183,0"</f>
        <v>183,0</v>
      </c>
      <c r="N13" s="12" t="str">
        <f>"6785,6840"</f>
        <v>6785,6840</v>
      </c>
      <c r="O13" s="11" t="s">
        <v>652</v>
      </c>
    </row>
    <row r="14" spans="1:15">
      <c r="B14" s="5" t="s">
        <v>204</v>
      </c>
    </row>
  </sheetData>
  <mergeCells count="15">
    <mergeCell ref="N3:N4"/>
    <mergeCell ref="O3:O4"/>
    <mergeCell ref="A5:L5"/>
    <mergeCell ref="A1:O2"/>
    <mergeCell ref="A3:A4"/>
    <mergeCell ref="C3:C4"/>
    <mergeCell ref="D3:D4"/>
    <mergeCell ref="E3:E4"/>
    <mergeCell ref="F3:F4"/>
    <mergeCell ref="G3:J3"/>
    <mergeCell ref="A8:L8"/>
    <mergeCell ref="A11:L11"/>
    <mergeCell ref="B3:B4"/>
    <mergeCell ref="K3:L3"/>
    <mergeCell ref="M3:M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.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9.1640625" style="5" bestFit="1" customWidth="1"/>
    <col min="7" max="9" width="5.5" style="6" customWidth="1"/>
    <col min="10" max="10" width="4.83203125" style="6" customWidth="1"/>
    <col min="11" max="11" width="13.83203125" style="6" customWidth="1"/>
    <col min="12" max="12" width="7.5" style="6" bestFit="1" customWidth="1"/>
    <col min="13" max="13" width="22.83203125" style="5" customWidth="1"/>
    <col min="14" max="16384" width="9.1640625" style="3"/>
  </cols>
  <sheetData>
    <row r="1" spans="1:13" s="2" customFormat="1" ht="29" customHeight="1">
      <c r="A1" s="87" t="s">
        <v>647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10</v>
      </c>
      <c r="H3" s="83"/>
      <c r="I3" s="83"/>
      <c r="J3" s="83"/>
      <c r="K3" s="83" t="s">
        <v>319</v>
      </c>
      <c r="L3" s="83" t="s">
        <v>3</v>
      </c>
      <c r="M3" s="98" t="s">
        <v>2</v>
      </c>
    </row>
    <row r="4" spans="1:13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84"/>
      <c r="L4" s="84"/>
      <c r="M4" s="99"/>
    </row>
    <row r="5" spans="1:13" ht="16">
      <c r="A5" s="81" t="s">
        <v>500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14" t="s">
        <v>202</v>
      </c>
      <c r="B6" s="13" t="s">
        <v>501</v>
      </c>
      <c r="C6" s="13" t="s">
        <v>502</v>
      </c>
      <c r="D6" s="13" t="s">
        <v>503</v>
      </c>
      <c r="E6" s="13" t="s">
        <v>657</v>
      </c>
      <c r="F6" s="13" t="s">
        <v>26</v>
      </c>
      <c r="G6" s="27" t="s">
        <v>21</v>
      </c>
      <c r="H6" s="26" t="s">
        <v>44</v>
      </c>
      <c r="I6" s="26" t="s">
        <v>44</v>
      </c>
      <c r="J6" s="14"/>
      <c r="K6" s="14" t="str">
        <f>"100,0"</f>
        <v>100,0</v>
      </c>
      <c r="L6" s="14" t="str">
        <f>"75,1900"</f>
        <v>75,1900</v>
      </c>
      <c r="M6" s="13" t="s">
        <v>652</v>
      </c>
    </row>
    <row r="7" spans="1:13">
      <c r="B7" s="5" t="s">
        <v>204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10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6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3.33203125" style="5" bestFit="1" customWidth="1"/>
    <col min="14" max="16384" width="9.1640625" style="3"/>
  </cols>
  <sheetData>
    <row r="1" spans="1:13" s="2" customFormat="1" ht="29" customHeight="1">
      <c r="A1" s="87" t="s">
        <v>648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10</v>
      </c>
      <c r="H3" s="83"/>
      <c r="I3" s="83"/>
      <c r="J3" s="83"/>
      <c r="K3" s="83" t="s">
        <v>319</v>
      </c>
      <c r="L3" s="83" t="s">
        <v>3</v>
      </c>
      <c r="M3" s="98" t="s">
        <v>2</v>
      </c>
    </row>
    <row r="4" spans="1:13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84"/>
      <c r="L4" s="84"/>
      <c r="M4" s="99"/>
    </row>
    <row r="5" spans="1:13" ht="16">
      <c r="A5" s="81" t="s">
        <v>480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14" t="s">
        <v>202</v>
      </c>
      <c r="B6" s="13" t="s">
        <v>494</v>
      </c>
      <c r="C6" s="13" t="s">
        <v>495</v>
      </c>
      <c r="D6" s="13" t="s">
        <v>496</v>
      </c>
      <c r="E6" s="13" t="s">
        <v>668</v>
      </c>
      <c r="F6" s="13" t="s">
        <v>497</v>
      </c>
      <c r="G6" s="27" t="s">
        <v>54</v>
      </c>
      <c r="H6" s="27" t="s">
        <v>246</v>
      </c>
      <c r="I6" s="26" t="s">
        <v>21</v>
      </c>
      <c r="J6" s="14"/>
      <c r="K6" s="14" t="str">
        <f>"95,0"</f>
        <v>95,0</v>
      </c>
      <c r="L6" s="14" t="str">
        <f>"68,4000"</f>
        <v>68,4000</v>
      </c>
      <c r="M6" s="13" t="s">
        <v>498</v>
      </c>
    </row>
    <row r="7" spans="1:13">
      <c r="B7" s="5" t="s">
        <v>204</v>
      </c>
    </row>
    <row r="10" spans="1:13">
      <c r="B10" s="5" t="s">
        <v>204</v>
      </c>
    </row>
  </sheetData>
  <mergeCells count="12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8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6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87" t="s">
        <v>649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10</v>
      </c>
      <c r="H3" s="83"/>
      <c r="I3" s="83"/>
      <c r="J3" s="83"/>
      <c r="K3" s="83" t="s">
        <v>319</v>
      </c>
      <c r="L3" s="83" t="s">
        <v>3</v>
      </c>
      <c r="M3" s="98" t="s">
        <v>2</v>
      </c>
    </row>
    <row r="4" spans="1:13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84"/>
      <c r="L4" s="84"/>
      <c r="M4" s="99"/>
    </row>
    <row r="5" spans="1:13" ht="16">
      <c r="A5" s="81" t="s">
        <v>499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14" t="s">
        <v>202</v>
      </c>
      <c r="B6" s="13" t="s">
        <v>504</v>
      </c>
      <c r="C6" s="13" t="s">
        <v>505</v>
      </c>
      <c r="D6" s="13" t="s">
        <v>506</v>
      </c>
      <c r="E6" s="13" t="s">
        <v>657</v>
      </c>
      <c r="F6" s="13" t="s">
        <v>497</v>
      </c>
      <c r="G6" s="26" t="s">
        <v>237</v>
      </c>
      <c r="H6" s="27" t="s">
        <v>237</v>
      </c>
      <c r="I6" s="27" t="s">
        <v>238</v>
      </c>
      <c r="J6" s="14"/>
      <c r="K6" s="14" t="str">
        <f>"300,0"</f>
        <v>300,0</v>
      </c>
      <c r="L6" s="14" t="str">
        <f>"173,9100"</f>
        <v>173,9100</v>
      </c>
      <c r="M6" s="13" t="s">
        <v>652</v>
      </c>
    </row>
    <row r="7" spans="1:13">
      <c r="B7" s="5" t="s">
        <v>204</v>
      </c>
    </row>
    <row r="8" spans="1:13">
      <c r="B8" s="5" t="s">
        <v>204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U39"/>
  <sheetViews>
    <sheetView workbookViewId="0">
      <selection activeCell="E29" sqref="E29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8" bestFit="1" customWidth="1"/>
    <col min="20" max="20" width="8.5" style="63" bestFit="1" customWidth="1"/>
    <col min="21" max="21" width="27.5" style="5" bestFit="1" customWidth="1"/>
    <col min="22" max="16384" width="9.1640625" style="3"/>
  </cols>
  <sheetData>
    <row r="1" spans="1:21" s="2" customFormat="1" ht="29" customHeight="1">
      <c r="A1" s="87" t="s">
        <v>606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90"/>
    </row>
    <row r="2" spans="1:21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4"/>
    </row>
    <row r="3" spans="1:21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9</v>
      </c>
      <c r="H3" s="83"/>
      <c r="I3" s="83"/>
      <c r="J3" s="83"/>
      <c r="K3" s="83" t="s">
        <v>10</v>
      </c>
      <c r="L3" s="83"/>
      <c r="M3" s="83"/>
      <c r="N3" s="83"/>
      <c r="O3" s="83" t="s">
        <v>11</v>
      </c>
      <c r="P3" s="83"/>
      <c r="Q3" s="83"/>
      <c r="R3" s="83"/>
      <c r="S3" s="85" t="s">
        <v>1</v>
      </c>
      <c r="T3" s="102" t="s">
        <v>3</v>
      </c>
      <c r="U3" s="98" t="s">
        <v>2</v>
      </c>
    </row>
    <row r="4" spans="1:21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86"/>
      <c r="T4" s="103"/>
      <c r="U4" s="99"/>
    </row>
    <row r="5" spans="1:21" ht="16">
      <c r="A5" s="81" t="s">
        <v>241</v>
      </c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21">
      <c r="A6" s="8" t="s">
        <v>202</v>
      </c>
      <c r="B6" s="7" t="s">
        <v>242</v>
      </c>
      <c r="C6" s="7" t="s">
        <v>547</v>
      </c>
      <c r="D6" s="7" t="s">
        <v>243</v>
      </c>
      <c r="E6" s="7" t="s">
        <v>663</v>
      </c>
      <c r="F6" s="33" t="s">
        <v>77</v>
      </c>
      <c r="G6" s="38" t="s">
        <v>17</v>
      </c>
      <c r="H6" s="38" t="s">
        <v>54</v>
      </c>
      <c r="I6" s="48" t="s">
        <v>43</v>
      </c>
      <c r="J6" s="50"/>
      <c r="K6" s="38" t="s">
        <v>32</v>
      </c>
      <c r="L6" s="38" t="s">
        <v>18</v>
      </c>
      <c r="M6" s="21" t="s">
        <v>78</v>
      </c>
      <c r="N6" s="41"/>
      <c r="O6" s="46" t="s">
        <v>17</v>
      </c>
      <c r="P6" s="46" t="s">
        <v>245</v>
      </c>
      <c r="Q6" s="46" t="s">
        <v>246</v>
      </c>
      <c r="R6" s="41"/>
      <c r="S6" s="59" t="str">
        <f>"232,5"</f>
        <v>232,5</v>
      </c>
      <c r="T6" s="64" t="str">
        <f>"618,6825"</f>
        <v>618,6825</v>
      </c>
      <c r="U6" s="35" t="s">
        <v>239</v>
      </c>
    </row>
    <row r="7" spans="1:21">
      <c r="A7" s="12" t="s">
        <v>202</v>
      </c>
      <c r="B7" s="11" t="s">
        <v>242</v>
      </c>
      <c r="C7" s="11" t="s">
        <v>244</v>
      </c>
      <c r="D7" s="11" t="s">
        <v>243</v>
      </c>
      <c r="E7" s="11" t="s">
        <v>657</v>
      </c>
      <c r="F7" s="34" t="s">
        <v>77</v>
      </c>
      <c r="G7" s="42" t="s">
        <v>17</v>
      </c>
      <c r="H7" s="42" t="s">
        <v>54</v>
      </c>
      <c r="I7" s="49" t="s">
        <v>43</v>
      </c>
      <c r="J7" s="51"/>
      <c r="K7" s="42" t="s">
        <v>32</v>
      </c>
      <c r="L7" s="42" t="s">
        <v>18</v>
      </c>
      <c r="M7" s="24" t="s">
        <v>78</v>
      </c>
      <c r="N7" s="45"/>
      <c r="O7" s="47" t="s">
        <v>17</v>
      </c>
      <c r="P7" s="47" t="s">
        <v>245</v>
      </c>
      <c r="Q7" s="47" t="s">
        <v>246</v>
      </c>
      <c r="R7" s="45"/>
      <c r="S7" s="60" t="str">
        <f>"232,5"</f>
        <v>232,5</v>
      </c>
      <c r="T7" s="65" t="str">
        <f>"618,6825"</f>
        <v>618,6825</v>
      </c>
      <c r="U7" s="36" t="s">
        <v>239</v>
      </c>
    </row>
    <row r="8" spans="1:21">
      <c r="B8" s="5" t="s">
        <v>204</v>
      </c>
    </row>
    <row r="9" spans="1:21" ht="16">
      <c r="A9" s="80" t="s">
        <v>247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21">
      <c r="A10" s="8" t="s">
        <v>202</v>
      </c>
      <c r="B10" s="7" t="s">
        <v>248</v>
      </c>
      <c r="C10" s="7" t="s">
        <v>548</v>
      </c>
      <c r="D10" s="7" t="s">
        <v>249</v>
      </c>
      <c r="E10" s="7" t="s">
        <v>660</v>
      </c>
      <c r="F10" s="33" t="s">
        <v>250</v>
      </c>
      <c r="G10" s="38" t="s">
        <v>29</v>
      </c>
      <c r="H10" s="38" t="s">
        <v>35</v>
      </c>
      <c r="I10" s="38" t="s">
        <v>17</v>
      </c>
      <c r="J10" s="50"/>
      <c r="K10" s="38" t="s">
        <v>48</v>
      </c>
      <c r="L10" s="48" t="s">
        <v>32</v>
      </c>
      <c r="M10" s="48" t="s">
        <v>32</v>
      </c>
      <c r="N10" s="8"/>
      <c r="O10" s="46" t="s">
        <v>50</v>
      </c>
      <c r="P10" s="46" t="s">
        <v>33</v>
      </c>
      <c r="Q10" s="46" t="s">
        <v>40</v>
      </c>
      <c r="R10" s="41"/>
      <c r="S10" s="61" t="str">
        <f>"192,5"</f>
        <v>192,5</v>
      </c>
      <c r="T10" s="66" t="str">
        <f>"413,6440"</f>
        <v>413,6440</v>
      </c>
      <c r="U10" s="35" t="s">
        <v>239</v>
      </c>
    </row>
    <row r="11" spans="1:21">
      <c r="A11" s="12" t="s">
        <v>202</v>
      </c>
      <c r="B11" s="11" t="s">
        <v>248</v>
      </c>
      <c r="C11" s="11" t="s">
        <v>251</v>
      </c>
      <c r="D11" s="11" t="s">
        <v>249</v>
      </c>
      <c r="E11" s="11" t="s">
        <v>657</v>
      </c>
      <c r="F11" s="34" t="s">
        <v>250</v>
      </c>
      <c r="G11" s="42" t="s">
        <v>29</v>
      </c>
      <c r="H11" s="42" t="s">
        <v>35</v>
      </c>
      <c r="I11" s="42" t="s">
        <v>17</v>
      </c>
      <c r="J11" s="51"/>
      <c r="K11" s="42" t="s">
        <v>48</v>
      </c>
      <c r="L11" s="49" t="s">
        <v>32</v>
      </c>
      <c r="M11" s="49" t="s">
        <v>32</v>
      </c>
      <c r="N11" s="12"/>
      <c r="O11" s="47" t="s">
        <v>50</v>
      </c>
      <c r="P11" s="47" t="s">
        <v>33</v>
      </c>
      <c r="Q11" s="47" t="s">
        <v>40</v>
      </c>
      <c r="R11" s="45"/>
      <c r="S11" s="62" t="str">
        <f>"192,5"</f>
        <v>192,5</v>
      </c>
      <c r="T11" s="67" t="str">
        <f>"413,6440"</f>
        <v>413,6440</v>
      </c>
      <c r="U11" s="36" t="s">
        <v>239</v>
      </c>
    </row>
    <row r="12" spans="1:21">
      <c r="B12" s="5" t="s">
        <v>204</v>
      </c>
    </row>
    <row r="13" spans="1:21" ht="16">
      <c r="A13" s="80" t="s">
        <v>12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spans="1:21">
      <c r="A14" s="8" t="s">
        <v>202</v>
      </c>
      <c r="B14" s="7" t="s">
        <v>252</v>
      </c>
      <c r="C14" s="7" t="s">
        <v>549</v>
      </c>
      <c r="D14" s="7" t="s">
        <v>253</v>
      </c>
      <c r="E14" s="7" t="s">
        <v>660</v>
      </c>
      <c r="F14" s="7" t="s">
        <v>586</v>
      </c>
      <c r="G14" s="38" t="s">
        <v>35</v>
      </c>
      <c r="H14" s="38" t="s">
        <v>17</v>
      </c>
      <c r="I14" s="48" t="s">
        <v>73</v>
      </c>
      <c r="J14" s="50"/>
      <c r="K14" s="38" t="s">
        <v>255</v>
      </c>
      <c r="L14" s="21" t="s">
        <v>48</v>
      </c>
      <c r="M14" s="54" t="s">
        <v>32</v>
      </c>
      <c r="N14" s="40"/>
      <c r="O14" s="38" t="s">
        <v>29</v>
      </c>
      <c r="P14" s="21" t="s">
        <v>17</v>
      </c>
      <c r="Q14" s="46" t="s">
        <v>245</v>
      </c>
      <c r="R14" s="41"/>
      <c r="S14" s="29">
        <v>202.5</v>
      </c>
      <c r="T14" s="64">
        <f>S14*1.984</f>
        <v>401.76</v>
      </c>
      <c r="U14" s="7" t="s">
        <v>239</v>
      </c>
    </row>
    <row r="15" spans="1:21">
      <c r="A15" s="10" t="s">
        <v>202</v>
      </c>
      <c r="B15" s="9" t="s">
        <v>256</v>
      </c>
      <c r="C15" s="9" t="s">
        <v>550</v>
      </c>
      <c r="D15" s="9" t="s">
        <v>257</v>
      </c>
      <c r="E15" s="9" t="s">
        <v>663</v>
      </c>
      <c r="F15" s="9" t="s">
        <v>26</v>
      </c>
      <c r="G15" s="22" t="s">
        <v>50</v>
      </c>
      <c r="H15" s="22" t="s">
        <v>29</v>
      </c>
      <c r="I15" s="22" t="s">
        <v>35</v>
      </c>
      <c r="J15" s="52"/>
      <c r="K15" s="55" t="s">
        <v>255</v>
      </c>
      <c r="L15" s="22" t="s">
        <v>48</v>
      </c>
      <c r="M15" s="56" t="s">
        <v>32</v>
      </c>
      <c r="O15" s="55" t="s">
        <v>50</v>
      </c>
      <c r="P15" s="22" t="s">
        <v>33</v>
      </c>
      <c r="Q15" s="57" t="s">
        <v>35</v>
      </c>
      <c r="R15" s="53"/>
      <c r="S15" s="30">
        <v>185</v>
      </c>
      <c r="T15" s="68">
        <f>185*1.934</f>
        <v>357.78999999999996</v>
      </c>
      <c r="U15" s="9" t="s">
        <v>652</v>
      </c>
    </row>
    <row r="16" spans="1:21">
      <c r="A16" s="10" t="s">
        <v>202</v>
      </c>
      <c r="B16" s="9" t="s">
        <v>258</v>
      </c>
      <c r="C16" s="9" t="s">
        <v>259</v>
      </c>
      <c r="D16" s="9" t="s">
        <v>260</v>
      </c>
      <c r="E16" s="9" t="s">
        <v>657</v>
      </c>
      <c r="F16" s="9" t="s">
        <v>77</v>
      </c>
      <c r="G16" s="22" t="s">
        <v>23</v>
      </c>
      <c r="H16" s="22" t="s">
        <v>60</v>
      </c>
      <c r="I16" s="23" t="s">
        <v>68</v>
      </c>
      <c r="J16" s="52"/>
      <c r="K16" s="55" t="s">
        <v>29</v>
      </c>
      <c r="L16" s="23" t="s">
        <v>35</v>
      </c>
      <c r="M16" s="57" t="s">
        <v>35</v>
      </c>
      <c r="O16" s="55" t="s">
        <v>99</v>
      </c>
      <c r="P16" s="23" t="s">
        <v>171</v>
      </c>
      <c r="Q16" s="56" t="s">
        <v>171</v>
      </c>
      <c r="R16" s="53"/>
      <c r="S16" s="30" t="str">
        <f>"360,0"</f>
        <v>360,0</v>
      </c>
      <c r="T16" s="68" t="str">
        <f>"688,3920"</f>
        <v>688,3920</v>
      </c>
      <c r="U16" s="9" t="s">
        <v>584</v>
      </c>
    </row>
    <row r="17" spans="1:21">
      <c r="A17" s="10" t="s">
        <v>203</v>
      </c>
      <c r="B17" s="9" t="s">
        <v>252</v>
      </c>
      <c r="C17" s="9" t="s">
        <v>261</v>
      </c>
      <c r="D17" s="9" t="s">
        <v>253</v>
      </c>
      <c r="E17" s="9" t="s">
        <v>657</v>
      </c>
      <c r="F17" s="9" t="s">
        <v>586</v>
      </c>
      <c r="G17" s="22" t="s">
        <v>35</v>
      </c>
      <c r="H17" s="22" t="s">
        <v>17</v>
      </c>
      <c r="I17" s="23" t="s">
        <v>73</v>
      </c>
      <c r="J17" s="52"/>
      <c r="K17" s="55" t="s">
        <v>255</v>
      </c>
      <c r="L17" s="22" t="s">
        <v>48</v>
      </c>
      <c r="M17" s="56" t="s">
        <v>32</v>
      </c>
      <c r="O17" s="55" t="s">
        <v>29</v>
      </c>
      <c r="P17" s="22" t="s">
        <v>17</v>
      </c>
      <c r="Q17" s="57" t="s">
        <v>245</v>
      </c>
      <c r="R17" s="53"/>
      <c r="S17" s="30" t="str">
        <f>"202,5"</f>
        <v>202,5</v>
      </c>
      <c r="T17" s="68" t="str">
        <f>"401,7600"</f>
        <v>401,7600</v>
      </c>
      <c r="U17" s="9" t="s">
        <v>239</v>
      </c>
    </row>
    <row r="18" spans="1:21">
      <c r="A18" s="12" t="s">
        <v>205</v>
      </c>
      <c r="B18" s="11" t="s">
        <v>256</v>
      </c>
      <c r="C18" s="11" t="s">
        <v>262</v>
      </c>
      <c r="D18" s="11" t="s">
        <v>257</v>
      </c>
      <c r="E18" s="11" t="s">
        <v>657</v>
      </c>
      <c r="F18" s="11" t="s">
        <v>26</v>
      </c>
      <c r="G18" s="24" t="s">
        <v>28</v>
      </c>
      <c r="H18" s="24" t="s">
        <v>29</v>
      </c>
      <c r="I18" s="24" t="s">
        <v>35</v>
      </c>
      <c r="J18" s="51"/>
      <c r="K18" s="42" t="s">
        <v>255</v>
      </c>
      <c r="L18" s="24" t="s">
        <v>48</v>
      </c>
      <c r="M18" s="58" t="s">
        <v>32</v>
      </c>
      <c r="N18" s="44"/>
      <c r="O18" s="42" t="s">
        <v>50</v>
      </c>
      <c r="P18" s="24" t="s">
        <v>33</v>
      </c>
      <c r="Q18" s="47" t="s">
        <v>35</v>
      </c>
      <c r="R18" s="45"/>
      <c r="S18" s="31" t="str">
        <f>"185,0"</f>
        <v>185,0</v>
      </c>
      <c r="T18" s="65" t="str">
        <f>"357,7900"</f>
        <v>357,7900</v>
      </c>
      <c r="U18" s="11" t="s">
        <v>652</v>
      </c>
    </row>
    <row r="19" spans="1:21">
      <c r="B19" s="5" t="s">
        <v>204</v>
      </c>
    </row>
    <row r="20" spans="1:21" ht="16">
      <c r="A20" s="80" t="s">
        <v>123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</row>
    <row r="21" spans="1:21">
      <c r="A21" s="8" t="s">
        <v>206</v>
      </c>
      <c r="B21" s="7" t="s">
        <v>263</v>
      </c>
      <c r="C21" s="7" t="s">
        <v>551</v>
      </c>
      <c r="D21" s="7" t="s">
        <v>264</v>
      </c>
      <c r="E21" s="7" t="s">
        <v>660</v>
      </c>
      <c r="F21" s="7" t="s">
        <v>77</v>
      </c>
      <c r="G21" s="21" t="s">
        <v>228</v>
      </c>
      <c r="H21" s="20" t="s">
        <v>166</v>
      </c>
      <c r="I21" s="21" t="s">
        <v>166</v>
      </c>
      <c r="J21" s="8"/>
      <c r="K21" s="21" t="s">
        <v>68</v>
      </c>
      <c r="L21" s="20" t="s">
        <v>62</v>
      </c>
      <c r="M21" s="20" t="s">
        <v>62</v>
      </c>
      <c r="N21" s="8"/>
      <c r="O21" s="20" t="s">
        <v>265</v>
      </c>
      <c r="P21" s="20" t="s">
        <v>265</v>
      </c>
      <c r="Q21" s="20" t="s">
        <v>265</v>
      </c>
      <c r="R21" s="8"/>
      <c r="S21" s="29">
        <v>0</v>
      </c>
      <c r="T21" s="64" t="str">
        <f>"0,0000"</f>
        <v>0,0000</v>
      </c>
      <c r="U21" s="7" t="s">
        <v>581</v>
      </c>
    </row>
    <row r="22" spans="1:21">
      <c r="A22" s="12" t="s">
        <v>202</v>
      </c>
      <c r="B22" s="11" t="s">
        <v>266</v>
      </c>
      <c r="C22" s="11" t="s">
        <v>267</v>
      </c>
      <c r="D22" s="11" t="s">
        <v>268</v>
      </c>
      <c r="E22" s="11" t="s">
        <v>657</v>
      </c>
      <c r="F22" s="11" t="s">
        <v>77</v>
      </c>
      <c r="G22" s="24" t="s">
        <v>99</v>
      </c>
      <c r="H22" s="25" t="s">
        <v>127</v>
      </c>
      <c r="I22" s="24" t="s">
        <v>127</v>
      </c>
      <c r="J22" s="12"/>
      <c r="K22" s="24" t="s">
        <v>68</v>
      </c>
      <c r="L22" s="24" t="s">
        <v>86</v>
      </c>
      <c r="M22" s="25" t="s">
        <v>96</v>
      </c>
      <c r="N22" s="12"/>
      <c r="O22" s="24" t="s">
        <v>166</v>
      </c>
      <c r="P22" s="24" t="s">
        <v>128</v>
      </c>
      <c r="Q22" s="24" t="s">
        <v>107</v>
      </c>
      <c r="R22" s="12"/>
      <c r="S22" s="31" t="str">
        <f>"520,0"</f>
        <v>520,0</v>
      </c>
      <c r="T22" s="65" t="str">
        <f>"556,8160"</f>
        <v>556,8160</v>
      </c>
      <c r="U22" s="11" t="s">
        <v>239</v>
      </c>
    </row>
    <row r="23" spans="1:21">
      <c r="B23" s="5" t="s">
        <v>204</v>
      </c>
    </row>
    <row r="24" spans="1:21" ht="16">
      <c r="A24" s="80" t="s">
        <v>167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</row>
    <row r="25" spans="1:21">
      <c r="A25" s="14" t="s">
        <v>202</v>
      </c>
      <c r="B25" s="13" t="s">
        <v>269</v>
      </c>
      <c r="C25" s="13" t="s">
        <v>270</v>
      </c>
      <c r="D25" s="13" t="s">
        <v>271</v>
      </c>
      <c r="E25" s="13" t="s">
        <v>657</v>
      </c>
      <c r="F25" s="13" t="s">
        <v>77</v>
      </c>
      <c r="G25" s="27" t="s">
        <v>105</v>
      </c>
      <c r="H25" s="27" t="s">
        <v>106</v>
      </c>
      <c r="I25" s="14"/>
      <c r="J25" s="14"/>
      <c r="K25" s="26" t="s">
        <v>86</v>
      </c>
      <c r="L25" s="27" t="s">
        <v>96</v>
      </c>
      <c r="M25" s="27" t="s">
        <v>87</v>
      </c>
      <c r="N25" s="14"/>
      <c r="O25" s="27" t="s">
        <v>106</v>
      </c>
      <c r="P25" s="26" t="s">
        <v>162</v>
      </c>
      <c r="Q25" s="27" t="s">
        <v>162</v>
      </c>
      <c r="R25" s="14"/>
      <c r="S25" s="32" t="str">
        <f>"560,0"</f>
        <v>560,0</v>
      </c>
      <c r="T25" s="69" t="str">
        <f>"525,1680"</f>
        <v>525,1680</v>
      </c>
      <c r="U25" s="13" t="s">
        <v>652</v>
      </c>
    </row>
    <row r="26" spans="1:21">
      <c r="B26" s="5" t="s">
        <v>204</v>
      </c>
    </row>
    <row r="27" spans="1:21" ht="16">
      <c r="A27" s="80" t="s">
        <v>173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</row>
    <row r="28" spans="1:21">
      <c r="A28" s="14" t="s">
        <v>202</v>
      </c>
      <c r="B28" s="13" t="s">
        <v>272</v>
      </c>
      <c r="C28" s="13" t="s">
        <v>273</v>
      </c>
      <c r="D28" s="13" t="s">
        <v>274</v>
      </c>
      <c r="E28" s="13" t="s">
        <v>657</v>
      </c>
      <c r="F28" s="13" t="s">
        <v>77</v>
      </c>
      <c r="G28" s="27" t="s">
        <v>275</v>
      </c>
      <c r="H28" s="26" t="s">
        <v>226</v>
      </c>
      <c r="I28" s="26" t="s">
        <v>226</v>
      </c>
      <c r="J28" s="14"/>
      <c r="K28" s="27" t="s">
        <v>166</v>
      </c>
      <c r="L28" s="27" t="s">
        <v>127</v>
      </c>
      <c r="M28" s="27" t="s">
        <v>105</v>
      </c>
      <c r="N28" s="14"/>
      <c r="O28" s="26" t="s">
        <v>144</v>
      </c>
      <c r="P28" s="26" t="s">
        <v>144</v>
      </c>
      <c r="Q28" s="27" t="s">
        <v>144</v>
      </c>
      <c r="R28" s="14"/>
      <c r="S28" s="32" t="str">
        <f>"712,5"</f>
        <v>712,5</v>
      </c>
      <c r="T28" s="69" t="str">
        <f>"641,3925"</f>
        <v>641,3925</v>
      </c>
      <c r="U28" s="13" t="s">
        <v>585</v>
      </c>
    </row>
    <row r="29" spans="1:21">
      <c r="B29" s="5" t="s">
        <v>204</v>
      </c>
    </row>
    <row r="32" spans="1:21" ht="18">
      <c r="B32" s="15" t="s">
        <v>177</v>
      </c>
      <c r="C32" s="15"/>
    </row>
    <row r="33" spans="2:6" ht="16">
      <c r="B33" s="16" t="s">
        <v>178</v>
      </c>
      <c r="C33" s="16"/>
    </row>
    <row r="34" spans="2:6" ht="14">
      <c r="B34" s="17"/>
      <c r="C34" s="18" t="s">
        <v>184</v>
      </c>
    </row>
    <row r="35" spans="2:6" ht="14">
      <c r="B35" s="19" t="s">
        <v>179</v>
      </c>
      <c r="C35" s="19" t="s">
        <v>180</v>
      </c>
      <c r="D35" s="19" t="s">
        <v>577</v>
      </c>
      <c r="E35" s="19" t="s">
        <v>181</v>
      </c>
      <c r="F35" s="19" t="s">
        <v>182</v>
      </c>
    </row>
    <row r="36" spans="2:6">
      <c r="B36" s="5" t="s">
        <v>258</v>
      </c>
      <c r="C36" s="5" t="s">
        <v>184</v>
      </c>
      <c r="D36" s="6" t="s">
        <v>276</v>
      </c>
      <c r="E36" s="6" t="s">
        <v>277</v>
      </c>
      <c r="F36" s="6" t="s">
        <v>278</v>
      </c>
    </row>
    <row r="37" spans="2:6">
      <c r="B37" s="5" t="s">
        <v>242</v>
      </c>
      <c r="C37" s="5" t="s">
        <v>184</v>
      </c>
      <c r="D37" s="6" t="s">
        <v>279</v>
      </c>
      <c r="E37" s="6" t="s">
        <v>280</v>
      </c>
      <c r="F37" s="6" t="s">
        <v>281</v>
      </c>
    </row>
    <row r="38" spans="2:6">
      <c r="B38" s="5" t="s">
        <v>248</v>
      </c>
      <c r="C38" s="5" t="s">
        <v>184</v>
      </c>
      <c r="D38" s="6" t="s">
        <v>282</v>
      </c>
      <c r="E38" s="6" t="s">
        <v>283</v>
      </c>
      <c r="F38" s="6" t="s">
        <v>284</v>
      </c>
    </row>
    <row r="39" spans="2:6">
      <c r="B39" s="5" t="s">
        <v>204</v>
      </c>
    </row>
  </sheetData>
  <mergeCells count="19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  <mergeCell ref="A27:R27"/>
    <mergeCell ref="A5:R5"/>
    <mergeCell ref="A9:R9"/>
    <mergeCell ref="A13:R13"/>
    <mergeCell ref="A20:R20"/>
    <mergeCell ref="A24:R24"/>
  </mergeCells>
  <phoneticPr fontId="8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7"/>
  <sheetViews>
    <sheetView tabSelected="1"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6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9.1640625" style="6" customWidth="1"/>
    <col min="13" max="13" width="23.6640625" style="5" customWidth="1"/>
    <col min="14" max="16384" width="9.1640625" style="3"/>
  </cols>
  <sheetData>
    <row r="1" spans="1:13" s="2" customFormat="1" ht="29" customHeight="1">
      <c r="A1" s="87" t="s">
        <v>650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/>
      <c r="H3" s="83"/>
      <c r="I3" s="83"/>
      <c r="J3" s="83"/>
      <c r="K3" s="83" t="s">
        <v>319</v>
      </c>
      <c r="L3" s="83" t="s">
        <v>3</v>
      </c>
      <c r="M3" s="98" t="s">
        <v>2</v>
      </c>
    </row>
    <row r="4" spans="1:13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84"/>
      <c r="L4" s="84"/>
      <c r="M4" s="99"/>
    </row>
    <row r="5" spans="1:13" ht="16">
      <c r="A5" s="80" t="s">
        <v>499</v>
      </c>
      <c r="B5" s="80"/>
      <c r="C5" s="80"/>
      <c r="D5" s="80"/>
      <c r="E5" s="80"/>
      <c r="F5" s="80"/>
      <c r="G5" s="80"/>
      <c r="H5" s="80"/>
      <c r="I5" s="80"/>
      <c r="J5" s="80"/>
    </row>
    <row r="6" spans="1:13">
      <c r="A6" s="14" t="s">
        <v>202</v>
      </c>
      <c r="B6" s="13" t="s">
        <v>476</v>
      </c>
      <c r="C6" s="13" t="s">
        <v>477</v>
      </c>
      <c r="D6" s="13" t="s">
        <v>478</v>
      </c>
      <c r="E6" s="13" t="s">
        <v>657</v>
      </c>
      <c r="F6" s="13" t="s">
        <v>77</v>
      </c>
      <c r="G6" s="27" t="s">
        <v>91</v>
      </c>
      <c r="H6" s="27" t="s">
        <v>67</v>
      </c>
      <c r="I6" s="27" t="s">
        <v>55</v>
      </c>
      <c r="J6" s="14"/>
      <c r="K6" s="14" t="str">
        <f>"117,5"</f>
        <v>117,5</v>
      </c>
      <c r="L6" s="14" t="str">
        <f>"68,2440"</f>
        <v>68,2440</v>
      </c>
      <c r="M6" s="13" t="s">
        <v>652</v>
      </c>
    </row>
    <row r="7" spans="1:13">
      <c r="B7" s="5" t="s">
        <v>204</v>
      </c>
    </row>
  </sheetData>
  <mergeCells count="12">
    <mergeCell ref="A1:M2"/>
    <mergeCell ref="A3:A4"/>
    <mergeCell ref="C3:C4"/>
    <mergeCell ref="D3:D4"/>
    <mergeCell ref="E3:E4"/>
    <mergeCell ref="F3:F4"/>
    <mergeCell ref="G3:J3"/>
    <mergeCell ref="A5:J5"/>
    <mergeCell ref="K3:K4"/>
    <mergeCell ref="L3:L4"/>
    <mergeCell ref="M3:M4"/>
    <mergeCell ref="B3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U21"/>
  <sheetViews>
    <sheetView workbookViewId="0">
      <selection activeCell="E21" sqref="E21"/>
    </sheetView>
  </sheetViews>
  <sheetFormatPr baseColWidth="10" defaultColWidth="9.1640625" defaultRowHeight="13"/>
  <cols>
    <col min="1" max="1" width="7.5" style="5" bestFit="1" customWidth="1"/>
    <col min="2" max="2" width="23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1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7" style="5" customWidth="1"/>
    <col min="22" max="16384" width="9.1640625" style="3"/>
  </cols>
  <sheetData>
    <row r="1" spans="1:21" s="2" customFormat="1" ht="29" customHeight="1">
      <c r="A1" s="87" t="s">
        <v>607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90"/>
    </row>
    <row r="2" spans="1:21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4"/>
    </row>
    <row r="3" spans="1:21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9</v>
      </c>
      <c r="H3" s="83"/>
      <c r="I3" s="83"/>
      <c r="J3" s="83"/>
      <c r="K3" s="83" t="s">
        <v>10</v>
      </c>
      <c r="L3" s="83"/>
      <c r="M3" s="83"/>
      <c r="N3" s="83"/>
      <c r="O3" s="83" t="s">
        <v>11</v>
      </c>
      <c r="P3" s="83"/>
      <c r="Q3" s="83"/>
      <c r="R3" s="83"/>
      <c r="S3" s="83" t="s">
        <v>1</v>
      </c>
      <c r="T3" s="83" t="s">
        <v>3</v>
      </c>
      <c r="U3" s="98" t="s">
        <v>2</v>
      </c>
    </row>
    <row r="4" spans="1:21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84"/>
      <c r="T4" s="84"/>
      <c r="U4" s="99"/>
    </row>
    <row r="5" spans="1:21" ht="16">
      <c r="A5" s="81" t="s">
        <v>108</v>
      </c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21">
      <c r="A6" s="8" t="s">
        <v>202</v>
      </c>
      <c r="B6" s="7" t="s">
        <v>207</v>
      </c>
      <c r="C6" s="7" t="s">
        <v>552</v>
      </c>
      <c r="D6" s="7" t="s">
        <v>208</v>
      </c>
      <c r="E6" s="7" t="s">
        <v>663</v>
      </c>
      <c r="F6" s="7" t="s">
        <v>209</v>
      </c>
      <c r="G6" s="21" t="s">
        <v>68</v>
      </c>
      <c r="H6" s="21" t="s">
        <v>210</v>
      </c>
      <c r="I6" s="21" t="s">
        <v>87</v>
      </c>
      <c r="J6" s="8"/>
      <c r="K6" s="21" t="s">
        <v>73</v>
      </c>
      <c r="L6" s="21" t="s">
        <v>74</v>
      </c>
      <c r="M6" s="20" t="s">
        <v>43</v>
      </c>
      <c r="N6" s="8"/>
      <c r="O6" s="21" t="s">
        <v>104</v>
      </c>
      <c r="P6" s="21" t="s">
        <v>210</v>
      </c>
      <c r="Q6" s="21" t="s">
        <v>87</v>
      </c>
      <c r="R6" s="8"/>
      <c r="S6" s="8" t="str">
        <f>"372,5"</f>
        <v>372,5</v>
      </c>
      <c r="T6" s="8" t="str">
        <f>"583,7075"</f>
        <v>583,7075</v>
      </c>
      <c r="U6" s="7" t="s">
        <v>211</v>
      </c>
    </row>
    <row r="7" spans="1:21">
      <c r="A7" s="12" t="s">
        <v>202</v>
      </c>
      <c r="B7" s="11" t="s">
        <v>212</v>
      </c>
      <c r="C7" s="11" t="s">
        <v>553</v>
      </c>
      <c r="D7" s="11" t="s">
        <v>213</v>
      </c>
      <c r="E7" s="11" t="s">
        <v>658</v>
      </c>
      <c r="F7" s="11" t="s">
        <v>214</v>
      </c>
      <c r="G7" s="25" t="s">
        <v>120</v>
      </c>
      <c r="H7" s="24" t="s">
        <v>120</v>
      </c>
      <c r="I7" s="24" t="s">
        <v>122</v>
      </c>
      <c r="J7" s="12"/>
      <c r="K7" s="24" t="s">
        <v>17</v>
      </c>
      <c r="L7" s="24" t="s">
        <v>73</v>
      </c>
      <c r="M7" s="24" t="s">
        <v>54</v>
      </c>
      <c r="N7" s="12"/>
      <c r="O7" s="24" t="s">
        <v>98</v>
      </c>
      <c r="P7" s="24" t="s">
        <v>166</v>
      </c>
      <c r="Q7" s="24" t="s">
        <v>105</v>
      </c>
      <c r="R7" s="12"/>
      <c r="S7" s="12" t="str">
        <f>"440,0"</f>
        <v>440,0</v>
      </c>
      <c r="T7" s="12" t="str">
        <f>"686,0291"</f>
        <v>686,0291</v>
      </c>
      <c r="U7" s="11" t="s">
        <v>526</v>
      </c>
    </row>
    <row r="8" spans="1:21">
      <c r="B8" s="5" t="s">
        <v>204</v>
      </c>
    </row>
    <row r="9" spans="1:21" ht="16">
      <c r="A9" s="80" t="s">
        <v>79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21">
      <c r="A10" s="14" t="s">
        <v>202</v>
      </c>
      <c r="B10" s="13" t="s">
        <v>215</v>
      </c>
      <c r="C10" s="13" t="s">
        <v>216</v>
      </c>
      <c r="D10" s="13" t="s">
        <v>217</v>
      </c>
      <c r="E10" s="13" t="s">
        <v>657</v>
      </c>
      <c r="F10" s="13" t="s">
        <v>77</v>
      </c>
      <c r="G10" s="26" t="s">
        <v>107</v>
      </c>
      <c r="H10" s="26" t="s">
        <v>107</v>
      </c>
      <c r="I10" s="27" t="s">
        <v>129</v>
      </c>
      <c r="J10" s="14"/>
      <c r="K10" s="27" t="s">
        <v>68</v>
      </c>
      <c r="L10" s="27" t="s">
        <v>104</v>
      </c>
      <c r="M10" s="26" t="s">
        <v>62</v>
      </c>
      <c r="N10" s="14"/>
      <c r="O10" s="27" t="s">
        <v>129</v>
      </c>
      <c r="P10" s="27" t="s">
        <v>218</v>
      </c>
      <c r="Q10" s="26" t="s">
        <v>219</v>
      </c>
      <c r="R10" s="14"/>
      <c r="S10" s="14" t="str">
        <f>"552,5"</f>
        <v>552,5</v>
      </c>
      <c r="T10" s="14" t="str">
        <f>"686,6470"</f>
        <v>686,6470</v>
      </c>
      <c r="U10" s="13" t="s">
        <v>652</v>
      </c>
    </row>
    <row r="11" spans="1:21">
      <c r="B11" s="5" t="s">
        <v>204</v>
      </c>
    </row>
    <row r="12" spans="1:21" ht="16">
      <c r="A12" s="80" t="s">
        <v>137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spans="1:21">
      <c r="A13" s="8" t="s">
        <v>202</v>
      </c>
      <c r="B13" s="7" t="s">
        <v>220</v>
      </c>
      <c r="C13" s="7" t="s">
        <v>221</v>
      </c>
      <c r="D13" s="7" t="s">
        <v>222</v>
      </c>
      <c r="E13" s="7" t="s">
        <v>657</v>
      </c>
      <c r="F13" s="7" t="s">
        <v>209</v>
      </c>
      <c r="G13" s="21" t="s">
        <v>223</v>
      </c>
      <c r="H13" s="20" t="s">
        <v>224</v>
      </c>
      <c r="I13" s="8"/>
      <c r="J13" s="8"/>
      <c r="K13" s="21" t="s">
        <v>136</v>
      </c>
      <c r="L13" s="21" t="s">
        <v>122</v>
      </c>
      <c r="M13" s="20" t="s">
        <v>113</v>
      </c>
      <c r="N13" s="8"/>
      <c r="O13" s="21" t="s">
        <v>225</v>
      </c>
      <c r="P13" s="20" t="s">
        <v>226</v>
      </c>
      <c r="Q13" s="8"/>
      <c r="R13" s="8"/>
      <c r="S13" s="8" t="str">
        <f>"695,0"</f>
        <v>695,0</v>
      </c>
      <c r="T13" s="8" t="str">
        <f>"678,3200"</f>
        <v>678,3200</v>
      </c>
      <c r="U13" s="7" t="s">
        <v>652</v>
      </c>
    </row>
    <row r="14" spans="1:21">
      <c r="A14" s="12" t="s">
        <v>202</v>
      </c>
      <c r="B14" s="11" t="s">
        <v>227</v>
      </c>
      <c r="C14" s="11" t="s">
        <v>630</v>
      </c>
      <c r="D14" s="11" t="s">
        <v>164</v>
      </c>
      <c r="E14" s="11" t="s">
        <v>664</v>
      </c>
      <c r="F14" s="11" t="s">
        <v>77</v>
      </c>
      <c r="G14" s="25" t="s">
        <v>228</v>
      </c>
      <c r="H14" s="24" t="s">
        <v>228</v>
      </c>
      <c r="I14" s="24" t="s">
        <v>127</v>
      </c>
      <c r="J14" s="12"/>
      <c r="K14" s="24" t="s">
        <v>104</v>
      </c>
      <c r="L14" s="24" t="s">
        <v>96</v>
      </c>
      <c r="M14" s="24" t="s">
        <v>112</v>
      </c>
      <c r="N14" s="12"/>
      <c r="O14" s="24" t="s">
        <v>228</v>
      </c>
      <c r="P14" s="24" t="s">
        <v>128</v>
      </c>
      <c r="Q14" s="24" t="s">
        <v>107</v>
      </c>
      <c r="R14" s="12"/>
      <c r="S14" s="12" t="str">
        <f>"532,5"</f>
        <v>532,5</v>
      </c>
      <c r="T14" s="12" t="str">
        <f>"910,0574"</f>
        <v>910,0574</v>
      </c>
      <c r="U14" s="11" t="s">
        <v>652</v>
      </c>
    </row>
    <row r="15" spans="1:21">
      <c r="B15" s="5" t="s">
        <v>204</v>
      </c>
    </row>
    <row r="16" spans="1:21" ht="16">
      <c r="A16" s="80" t="s">
        <v>167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spans="1:21">
      <c r="A17" s="14" t="s">
        <v>206</v>
      </c>
      <c r="B17" s="13" t="s">
        <v>229</v>
      </c>
      <c r="C17" s="13" t="s">
        <v>230</v>
      </c>
      <c r="D17" s="13" t="s">
        <v>231</v>
      </c>
      <c r="E17" s="13" t="s">
        <v>657</v>
      </c>
      <c r="F17" s="13" t="s">
        <v>232</v>
      </c>
      <c r="G17" s="27" t="s">
        <v>107</v>
      </c>
      <c r="H17" s="27" t="s">
        <v>161</v>
      </c>
      <c r="I17" s="26" t="s">
        <v>219</v>
      </c>
      <c r="J17" s="14"/>
      <c r="K17" s="27" t="s">
        <v>97</v>
      </c>
      <c r="L17" s="27" t="s">
        <v>136</v>
      </c>
      <c r="M17" s="27" t="s">
        <v>122</v>
      </c>
      <c r="N17" s="14"/>
      <c r="O17" s="26" t="s">
        <v>141</v>
      </c>
      <c r="P17" s="26" t="s">
        <v>142</v>
      </c>
      <c r="Q17" s="26" t="s">
        <v>191</v>
      </c>
      <c r="R17" s="14"/>
      <c r="S17" s="32">
        <v>0</v>
      </c>
      <c r="T17" s="14" t="str">
        <f>"0,0000"</f>
        <v>0,0000</v>
      </c>
      <c r="U17" s="13" t="s">
        <v>652</v>
      </c>
    </row>
    <row r="18" spans="1:21">
      <c r="B18" s="5" t="s">
        <v>204</v>
      </c>
    </row>
    <row r="19" spans="1:21" ht="16">
      <c r="A19" s="80" t="s">
        <v>173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  <row r="20" spans="1:21">
      <c r="A20" s="14" t="s">
        <v>202</v>
      </c>
      <c r="B20" s="13" t="s">
        <v>233</v>
      </c>
      <c r="C20" s="13" t="s">
        <v>234</v>
      </c>
      <c r="D20" s="13" t="s">
        <v>235</v>
      </c>
      <c r="E20" s="13" t="s">
        <v>657</v>
      </c>
      <c r="F20" s="13" t="s">
        <v>26</v>
      </c>
      <c r="G20" s="27" t="s">
        <v>236</v>
      </c>
      <c r="H20" s="27" t="s">
        <v>237</v>
      </c>
      <c r="I20" s="26" t="s">
        <v>238</v>
      </c>
      <c r="J20" s="14"/>
      <c r="K20" s="27" t="s">
        <v>97</v>
      </c>
      <c r="L20" s="27" t="s">
        <v>122</v>
      </c>
      <c r="M20" s="27" t="s">
        <v>98</v>
      </c>
      <c r="N20" s="14"/>
      <c r="O20" s="27" t="s">
        <v>225</v>
      </c>
      <c r="P20" s="27" t="s">
        <v>223</v>
      </c>
      <c r="Q20" s="26" t="s">
        <v>236</v>
      </c>
      <c r="R20" s="14"/>
      <c r="S20" s="14" t="str">
        <f>"735,0"</f>
        <v>735,0</v>
      </c>
      <c r="T20" s="14" t="str">
        <f>"651,9450"</f>
        <v>651,9450</v>
      </c>
      <c r="U20" s="13" t="s">
        <v>239</v>
      </c>
    </row>
    <row r="21" spans="1:21">
      <c r="B21" s="5" t="s">
        <v>204</v>
      </c>
    </row>
  </sheetData>
  <mergeCells count="18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9:R9"/>
    <mergeCell ref="A12:R12"/>
    <mergeCell ref="A16:R16"/>
    <mergeCell ref="A19:R19"/>
    <mergeCell ref="B3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U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.6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3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1.33203125" style="5" customWidth="1"/>
    <col min="22" max="16384" width="9.1640625" style="3"/>
  </cols>
  <sheetData>
    <row r="1" spans="1:21" s="2" customFormat="1" ht="29" customHeight="1">
      <c r="A1" s="87" t="s">
        <v>608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90"/>
    </row>
    <row r="2" spans="1:21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4"/>
    </row>
    <row r="3" spans="1:21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9</v>
      </c>
      <c r="H3" s="83"/>
      <c r="I3" s="83"/>
      <c r="J3" s="83"/>
      <c r="K3" s="83" t="s">
        <v>10</v>
      </c>
      <c r="L3" s="83"/>
      <c r="M3" s="83"/>
      <c r="N3" s="83"/>
      <c r="O3" s="83" t="s">
        <v>11</v>
      </c>
      <c r="P3" s="83"/>
      <c r="Q3" s="83"/>
      <c r="R3" s="83"/>
      <c r="S3" s="83" t="s">
        <v>1</v>
      </c>
      <c r="T3" s="83" t="s">
        <v>3</v>
      </c>
      <c r="U3" s="98" t="s">
        <v>2</v>
      </c>
    </row>
    <row r="4" spans="1:21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84"/>
      <c r="T4" s="84"/>
      <c r="U4" s="99"/>
    </row>
    <row r="5" spans="1:21" ht="16">
      <c r="A5" s="81" t="s">
        <v>137</v>
      </c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21">
      <c r="A6" s="14" t="s">
        <v>202</v>
      </c>
      <c r="B6" s="13" t="s">
        <v>285</v>
      </c>
      <c r="C6" s="13" t="s">
        <v>286</v>
      </c>
      <c r="D6" s="13" t="s">
        <v>287</v>
      </c>
      <c r="E6" s="13" t="s">
        <v>657</v>
      </c>
      <c r="F6" s="13" t="s">
        <v>288</v>
      </c>
      <c r="G6" s="26" t="s">
        <v>191</v>
      </c>
      <c r="H6" s="27" t="s">
        <v>191</v>
      </c>
      <c r="I6" s="26" t="s">
        <v>225</v>
      </c>
      <c r="J6" s="14"/>
      <c r="K6" s="27" t="s">
        <v>228</v>
      </c>
      <c r="L6" s="26" t="s">
        <v>127</v>
      </c>
      <c r="M6" s="27" t="s">
        <v>127</v>
      </c>
      <c r="N6" s="14"/>
      <c r="O6" s="27" t="s">
        <v>162</v>
      </c>
      <c r="P6" s="27" t="s">
        <v>131</v>
      </c>
      <c r="Q6" s="26" t="s">
        <v>289</v>
      </c>
      <c r="R6" s="14"/>
      <c r="S6" s="14" t="str">
        <f>"665,0"</f>
        <v>665,0</v>
      </c>
      <c r="T6" s="14" t="str">
        <f>"651,5670"</f>
        <v>651,5670</v>
      </c>
      <c r="U6" s="13" t="s">
        <v>290</v>
      </c>
    </row>
    <row r="7" spans="1:21">
      <c r="B7" s="5" t="s">
        <v>204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Q25"/>
  <sheetViews>
    <sheetView workbookViewId="0">
      <selection activeCell="E25" sqref="E25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3.33203125" style="5" customWidth="1"/>
    <col min="18" max="16384" width="9.1640625" style="3"/>
  </cols>
  <sheetData>
    <row r="1" spans="1:17" s="2" customFormat="1" ht="29" customHeight="1">
      <c r="A1" s="87" t="s">
        <v>609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90"/>
    </row>
    <row r="2" spans="1:17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4"/>
    </row>
    <row r="3" spans="1:17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10</v>
      </c>
      <c r="H3" s="83"/>
      <c r="I3" s="83"/>
      <c r="J3" s="83"/>
      <c r="K3" s="83" t="s">
        <v>11</v>
      </c>
      <c r="L3" s="83"/>
      <c r="M3" s="83"/>
      <c r="N3" s="83"/>
      <c r="O3" s="83" t="s">
        <v>1</v>
      </c>
      <c r="P3" s="83" t="s">
        <v>3</v>
      </c>
      <c r="Q3" s="98" t="s">
        <v>2</v>
      </c>
    </row>
    <row r="4" spans="1:17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84"/>
      <c r="P4" s="84"/>
      <c r="Q4" s="99"/>
    </row>
    <row r="5" spans="1:17" ht="16">
      <c r="A5" s="81" t="s">
        <v>241</v>
      </c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7">
      <c r="A6" s="8" t="s">
        <v>202</v>
      </c>
      <c r="B6" s="7" t="s">
        <v>242</v>
      </c>
      <c r="C6" s="7" t="s">
        <v>547</v>
      </c>
      <c r="D6" s="7" t="s">
        <v>243</v>
      </c>
      <c r="E6" s="7" t="s">
        <v>663</v>
      </c>
      <c r="F6" s="7" t="s">
        <v>77</v>
      </c>
      <c r="G6" s="38" t="s">
        <v>32</v>
      </c>
      <c r="H6" s="38" t="s">
        <v>18</v>
      </c>
      <c r="I6" s="21" t="s">
        <v>78</v>
      </c>
      <c r="J6" s="41"/>
      <c r="K6" s="46" t="s">
        <v>17</v>
      </c>
      <c r="L6" s="46" t="s">
        <v>245</v>
      </c>
      <c r="M6" s="46" t="s">
        <v>246</v>
      </c>
      <c r="N6" s="8"/>
      <c r="O6" s="8" t="str">
        <f>"142,5"</f>
        <v>142,5</v>
      </c>
      <c r="P6" s="8" t="str">
        <f>"379,1925"</f>
        <v>379,1925</v>
      </c>
      <c r="Q6" s="7" t="s">
        <v>239</v>
      </c>
    </row>
    <row r="7" spans="1:17">
      <c r="A7" s="12" t="s">
        <v>202</v>
      </c>
      <c r="B7" s="11" t="s">
        <v>242</v>
      </c>
      <c r="C7" s="11" t="s">
        <v>244</v>
      </c>
      <c r="D7" s="11" t="s">
        <v>243</v>
      </c>
      <c r="E7" s="11" t="s">
        <v>657</v>
      </c>
      <c r="F7" s="11" t="s">
        <v>77</v>
      </c>
      <c r="G7" s="42" t="s">
        <v>32</v>
      </c>
      <c r="H7" s="42" t="s">
        <v>18</v>
      </c>
      <c r="I7" s="24" t="s">
        <v>78</v>
      </c>
      <c r="J7" s="45"/>
      <c r="K7" s="47" t="s">
        <v>17</v>
      </c>
      <c r="L7" s="47" t="s">
        <v>245</v>
      </c>
      <c r="M7" s="47" t="s">
        <v>246</v>
      </c>
      <c r="N7" s="12"/>
      <c r="O7" s="12" t="str">
        <f>"142,5"</f>
        <v>142,5</v>
      </c>
      <c r="P7" s="12" t="str">
        <f>"379,1925"</f>
        <v>379,1925</v>
      </c>
      <c r="Q7" s="11" t="s">
        <v>239</v>
      </c>
    </row>
    <row r="8" spans="1:17">
      <c r="B8" s="5" t="s">
        <v>204</v>
      </c>
    </row>
    <row r="9" spans="1:17" ht="16">
      <c r="A9" s="80" t="s">
        <v>247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17">
      <c r="A10" s="8" t="s">
        <v>202</v>
      </c>
      <c r="B10" s="7" t="s">
        <v>248</v>
      </c>
      <c r="C10" s="7" t="s">
        <v>548</v>
      </c>
      <c r="D10" s="7" t="s">
        <v>249</v>
      </c>
      <c r="E10" s="7" t="s">
        <v>660</v>
      </c>
      <c r="F10" s="7" t="s">
        <v>250</v>
      </c>
      <c r="G10" s="38" t="s">
        <v>48</v>
      </c>
      <c r="H10" s="48" t="s">
        <v>32</v>
      </c>
      <c r="I10" s="48" t="s">
        <v>32</v>
      </c>
      <c r="J10" s="8"/>
      <c r="K10" s="46" t="s">
        <v>50</v>
      </c>
      <c r="L10" s="46" t="s">
        <v>33</v>
      </c>
      <c r="M10" s="46" t="s">
        <v>40</v>
      </c>
      <c r="N10" s="8"/>
      <c r="O10" s="8" t="str">
        <f>"112,5"</f>
        <v>112,5</v>
      </c>
      <c r="P10" s="8" t="str">
        <f>"241,7400"</f>
        <v>241,7400</v>
      </c>
      <c r="Q10" s="7" t="s">
        <v>239</v>
      </c>
    </row>
    <row r="11" spans="1:17">
      <c r="A11" s="12" t="s">
        <v>202</v>
      </c>
      <c r="B11" s="11" t="s">
        <v>248</v>
      </c>
      <c r="C11" s="11" t="s">
        <v>251</v>
      </c>
      <c r="D11" s="11" t="s">
        <v>249</v>
      </c>
      <c r="E11" s="11" t="s">
        <v>657</v>
      </c>
      <c r="F11" s="11" t="s">
        <v>250</v>
      </c>
      <c r="G11" s="42" t="s">
        <v>48</v>
      </c>
      <c r="H11" s="49" t="s">
        <v>32</v>
      </c>
      <c r="I11" s="49" t="s">
        <v>32</v>
      </c>
      <c r="J11" s="12"/>
      <c r="K11" s="47" t="s">
        <v>50</v>
      </c>
      <c r="L11" s="47" t="s">
        <v>33</v>
      </c>
      <c r="M11" s="47" t="s">
        <v>40</v>
      </c>
      <c r="N11" s="12"/>
      <c r="O11" s="12" t="str">
        <f>"112,5"</f>
        <v>112,5</v>
      </c>
      <c r="P11" s="12" t="str">
        <f>"241,7400"</f>
        <v>241,7400</v>
      </c>
      <c r="Q11" s="11" t="s">
        <v>239</v>
      </c>
    </row>
    <row r="12" spans="1:17">
      <c r="B12" s="5" t="s">
        <v>204</v>
      </c>
    </row>
    <row r="13" spans="1:17" ht="16">
      <c r="A13" s="80" t="s">
        <v>12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</row>
    <row r="14" spans="1:17">
      <c r="A14" s="8" t="s">
        <v>202</v>
      </c>
      <c r="B14" s="7" t="s">
        <v>252</v>
      </c>
      <c r="C14" s="7" t="s">
        <v>549</v>
      </c>
      <c r="D14" s="7" t="s">
        <v>253</v>
      </c>
      <c r="E14" s="7" t="s">
        <v>660</v>
      </c>
      <c r="F14" s="33" t="s">
        <v>254</v>
      </c>
      <c r="G14" s="38" t="s">
        <v>255</v>
      </c>
      <c r="H14" s="38" t="s">
        <v>48</v>
      </c>
      <c r="I14" s="48" t="s">
        <v>32</v>
      </c>
      <c r="J14" s="8"/>
      <c r="K14" s="46" t="s">
        <v>29</v>
      </c>
      <c r="L14" s="46" t="s">
        <v>17</v>
      </c>
      <c r="M14" s="46" t="s">
        <v>245</v>
      </c>
      <c r="N14" s="41"/>
      <c r="O14" s="8" t="str">
        <f>"122,5"</f>
        <v>122,5</v>
      </c>
      <c r="P14" s="8" t="str">
        <f>"243,0400"</f>
        <v>243,0400</v>
      </c>
      <c r="Q14" s="7" t="s">
        <v>239</v>
      </c>
    </row>
    <row r="15" spans="1:17">
      <c r="A15" s="10" t="s">
        <v>202</v>
      </c>
      <c r="B15" s="9" t="s">
        <v>256</v>
      </c>
      <c r="C15" s="9" t="s">
        <v>550</v>
      </c>
      <c r="D15" s="9" t="s">
        <v>257</v>
      </c>
      <c r="E15" s="9" t="s">
        <v>663</v>
      </c>
      <c r="F15" s="70" t="s">
        <v>26</v>
      </c>
      <c r="G15" s="55" t="s">
        <v>255</v>
      </c>
      <c r="H15" s="55" t="s">
        <v>48</v>
      </c>
      <c r="I15" s="71" t="s">
        <v>32</v>
      </c>
      <c r="J15" s="10"/>
      <c r="K15" s="57" t="s">
        <v>50</v>
      </c>
      <c r="L15" s="57" t="s">
        <v>33</v>
      </c>
      <c r="M15" s="57" t="s">
        <v>35</v>
      </c>
      <c r="N15" s="53"/>
      <c r="O15" s="10" t="str">
        <f>"110,0"</f>
        <v>110,0</v>
      </c>
      <c r="P15" s="10" t="str">
        <f>"212,7400"</f>
        <v>212,7400</v>
      </c>
      <c r="Q15" s="9"/>
    </row>
    <row r="16" spans="1:17">
      <c r="A16" s="10" t="s">
        <v>202</v>
      </c>
      <c r="B16" s="9" t="s">
        <v>252</v>
      </c>
      <c r="C16" s="9" t="s">
        <v>261</v>
      </c>
      <c r="D16" s="9" t="s">
        <v>253</v>
      </c>
      <c r="E16" s="9" t="s">
        <v>657</v>
      </c>
      <c r="F16" s="70" t="s">
        <v>586</v>
      </c>
      <c r="G16" s="55" t="s">
        <v>255</v>
      </c>
      <c r="H16" s="55" t="s">
        <v>48</v>
      </c>
      <c r="I16" s="71" t="s">
        <v>32</v>
      </c>
      <c r="J16" s="10"/>
      <c r="K16" s="57" t="s">
        <v>29</v>
      </c>
      <c r="L16" s="57" t="s">
        <v>17</v>
      </c>
      <c r="M16" s="57" t="s">
        <v>245</v>
      </c>
      <c r="N16" s="53"/>
      <c r="O16" s="10" t="str">
        <f>"122,5"</f>
        <v>122,5</v>
      </c>
      <c r="P16" s="10" t="str">
        <f>"243,0400"</f>
        <v>243,0400</v>
      </c>
      <c r="Q16" s="9" t="s">
        <v>239</v>
      </c>
    </row>
    <row r="17" spans="1:17">
      <c r="A17" s="12" t="s">
        <v>203</v>
      </c>
      <c r="B17" s="11" t="s">
        <v>256</v>
      </c>
      <c r="C17" s="11" t="s">
        <v>262</v>
      </c>
      <c r="D17" s="11" t="s">
        <v>257</v>
      </c>
      <c r="E17" s="11" t="s">
        <v>657</v>
      </c>
      <c r="F17" s="34" t="s">
        <v>26</v>
      </c>
      <c r="G17" s="42" t="s">
        <v>255</v>
      </c>
      <c r="H17" s="42" t="s">
        <v>48</v>
      </c>
      <c r="I17" s="49" t="s">
        <v>32</v>
      </c>
      <c r="J17" s="12"/>
      <c r="K17" s="47" t="s">
        <v>50</v>
      </c>
      <c r="L17" s="47" t="s">
        <v>33</v>
      </c>
      <c r="M17" s="47" t="s">
        <v>35</v>
      </c>
      <c r="N17" s="45"/>
      <c r="O17" s="12" t="str">
        <f>"110,0"</f>
        <v>110,0</v>
      </c>
      <c r="P17" s="12" t="str">
        <f>"212,7400"</f>
        <v>212,7400</v>
      </c>
      <c r="Q17" s="11"/>
    </row>
    <row r="18" spans="1:17">
      <c r="B18" s="5" t="s">
        <v>204</v>
      </c>
    </row>
    <row r="19" spans="1:17" ht="16">
      <c r="A19" s="80" t="s">
        <v>79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</row>
    <row r="20" spans="1:17">
      <c r="A20" s="14" t="s">
        <v>202</v>
      </c>
      <c r="B20" s="13" t="s">
        <v>100</v>
      </c>
      <c r="C20" s="13" t="s">
        <v>101</v>
      </c>
      <c r="D20" s="13" t="s">
        <v>102</v>
      </c>
      <c r="E20" s="13" t="s">
        <v>657</v>
      </c>
      <c r="F20" s="13" t="s">
        <v>103</v>
      </c>
      <c r="G20" s="27" t="s">
        <v>44</v>
      </c>
      <c r="H20" s="26" t="s">
        <v>91</v>
      </c>
      <c r="I20" s="26" t="s">
        <v>91</v>
      </c>
      <c r="J20" s="14"/>
      <c r="K20" s="27" t="s">
        <v>105</v>
      </c>
      <c r="L20" s="26" t="s">
        <v>106</v>
      </c>
      <c r="M20" s="26" t="s">
        <v>107</v>
      </c>
      <c r="N20" s="14"/>
      <c r="O20" s="14" t="str">
        <f>"292,5"</f>
        <v>292,5</v>
      </c>
      <c r="P20" s="14" t="str">
        <f>"368,3745"</f>
        <v>368,3745</v>
      </c>
      <c r="Q20" s="13" t="s">
        <v>211</v>
      </c>
    </row>
    <row r="21" spans="1:17">
      <c r="B21" s="5" t="s">
        <v>204</v>
      </c>
    </row>
    <row r="22" spans="1:17" ht="16">
      <c r="A22" s="80" t="s">
        <v>123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7">
      <c r="A23" s="8" t="s">
        <v>202</v>
      </c>
      <c r="B23" s="7" t="s">
        <v>266</v>
      </c>
      <c r="C23" s="7" t="s">
        <v>554</v>
      </c>
      <c r="D23" s="7" t="s">
        <v>268</v>
      </c>
      <c r="E23" s="7" t="s">
        <v>660</v>
      </c>
      <c r="F23" s="33" t="s">
        <v>77</v>
      </c>
      <c r="G23" s="38" t="s">
        <v>68</v>
      </c>
      <c r="H23" s="38" t="s">
        <v>86</v>
      </c>
      <c r="I23" s="48" t="s">
        <v>96</v>
      </c>
      <c r="J23" s="8"/>
      <c r="K23" s="46" t="s">
        <v>166</v>
      </c>
      <c r="L23" s="46" t="s">
        <v>128</v>
      </c>
      <c r="M23" s="46" t="s">
        <v>107</v>
      </c>
      <c r="N23" s="41"/>
      <c r="O23" s="8" t="str">
        <f>"335,0"</f>
        <v>335,0</v>
      </c>
      <c r="P23" s="8" t="str">
        <f>"358,7180"</f>
        <v>358,7180</v>
      </c>
      <c r="Q23" s="7" t="s">
        <v>239</v>
      </c>
    </row>
    <row r="24" spans="1:17">
      <c r="A24" s="12" t="s">
        <v>202</v>
      </c>
      <c r="B24" s="11" t="s">
        <v>266</v>
      </c>
      <c r="C24" s="11" t="s">
        <v>267</v>
      </c>
      <c r="D24" s="11" t="s">
        <v>268</v>
      </c>
      <c r="E24" s="11" t="s">
        <v>657</v>
      </c>
      <c r="F24" s="34" t="s">
        <v>77</v>
      </c>
      <c r="G24" s="42" t="s">
        <v>68</v>
      </c>
      <c r="H24" s="42" t="s">
        <v>86</v>
      </c>
      <c r="I24" s="49" t="s">
        <v>96</v>
      </c>
      <c r="J24" s="12"/>
      <c r="K24" s="47" t="s">
        <v>166</v>
      </c>
      <c r="L24" s="47" t="s">
        <v>128</v>
      </c>
      <c r="M24" s="47" t="s">
        <v>107</v>
      </c>
      <c r="N24" s="45"/>
      <c r="O24" s="12" t="str">
        <f>"335,0"</f>
        <v>335,0</v>
      </c>
      <c r="P24" s="12" t="str">
        <f>"358,7180"</f>
        <v>358,7180</v>
      </c>
      <c r="Q24" s="11" t="s">
        <v>239</v>
      </c>
    </row>
    <row r="25" spans="1:17">
      <c r="B25" s="5" t="s">
        <v>204</v>
      </c>
    </row>
  </sheetData>
  <mergeCells count="17"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9:N9"/>
    <mergeCell ref="A13:N13"/>
    <mergeCell ref="A19:N19"/>
    <mergeCell ref="A22:N22"/>
    <mergeCell ref="B3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Q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9.1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8.33203125" style="5" customWidth="1"/>
    <col min="18" max="16384" width="9.1640625" style="3"/>
  </cols>
  <sheetData>
    <row r="1" spans="1:17" s="2" customFormat="1" ht="29" customHeight="1">
      <c r="A1" s="87" t="s">
        <v>610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90"/>
    </row>
    <row r="2" spans="1:17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4"/>
    </row>
    <row r="3" spans="1:17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10</v>
      </c>
      <c r="H3" s="83"/>
      <c r="I3" s="83"/>
      <c r="J3" s="83"/>
      <c r="K3" s="83" t="s">
        <v>11</v>
      </c>
      <c r="L3" s="83"/>
      <c r="M3" s="83"/>
      <c r="N3" s="83"/>
      <c r="O3" s="83" t="s">
        <v>1</v>
      </c>
      <c r="P3" s="83" t="s">
        <v>3</v>
      </c>
      <c r="Q3" s="98" t="s">
        <v>2</v>
      </c>
    </row>
    <row r="4" spans="1:17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84"/>
      <c r="P4" s="84"/>
      <c r="Q4" s="99"/>
    </row>
    <row r="5" spans="1:17" ht="16">
      <c r="A5" s="81" t="s">
        <v>79</v>
      </c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7">
      <c r="A6" s="14" t="s">
        <v>202</v>
      </c>
      <c r="B6" s="13" t="s">
        <v>215</v>
      </c>
      <c r="C6" s="13" t="s">
        <v>216</v>
      </c>
      <c r="D6" s="13" t="s">
        <v>217</v>
      </c>
      <c r="E6" s="13" t="s">
        <v>657</v>
      </c>
      <c r="F6" s="13" t="s">
        <v>77</v>
      </c>
      <c r="G6" s="27" t="s">
        <v>68</v>
      </c>
      <c r="H6" s="27" t="s">
        <v>104</v>
      </c>
      <c r="I6" s="26" t="s">
        <v>62</v>
      </c>
      <c r="J6" s="14"/>
      <c r="K6" s="27" t="s">
        <v>129</v>
      </c>
      <c r="L6" s="27" t="s">
        <v>218</v>
      </c>
      <c r="M6" s="26" t="s">
        <v>219</v>
      </c>
      <c r="N6" s="14"/>
      <c r="O6" s="14" t="str">
        <f>"342,5"</f>
        <v>342,5</v>
      </c>
      <c r="P6" s="14" t="str">
        <f>"425,6590"</f>
        <v>425,6590</v>
      </c>
      <c r="Q6" s="13" t="s">
        <v>652</v>
      </c>
    </row>
    <row r="7" spans="1:17">
      <c r="B7" s="5" t="s">
        <v>204</v>
      </c>
    </row>
    <row r="8" spans="1:17" ht="16">
      <c r="A8" s="80" t="s">
        <v>108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1:17">
      <c r="A9" s="14" t="s">
        <v>202</v>
      </c>
      <c r="B9" s="13" t="s">
        <v>412</v>
      </c>
      <c r="C9" s="13" t="s">
        <v>413</v>
      </c>
      <c r="D9" s="13" t="s">
        <v>414</v>
      </c>
      <c r="E9" s="13" t="s">
        <v>657</v>
      </c>
      <c r="F9" s="13" t="s">
        <v>415</v>
      </c>
      <c r="G9" s="27" t="s">
        <v>54</v>
      </c>
      <c r="H9" s="27" t="s">
        <v>22</v>
      </c>
      <c r="I9" s="26" t="s">
        <v>23</v>
      </c>
      <c r="J9" s="14"/>
      <c r="K9" s="27" t="s">
        <v>122</v>
      </c>
      <c r="L9" s="27" t="s">
        <v>166</v>
      </c>
      <c r="M9" s="26" t="s">
        <v>127</v>
      </c>
      <c r="N9" s="14"/>
      <c r="O9" s="14" t="str">
        <f>"285,0"</f>
        <v>285,0</v>
      </c>
      <c r="P9" s="14" t="str">
        <f>"333,9060"</f>
        <v>333,9060</v>
      </c>
      <c r="Q9" s="13" t="s">
        <v>587</v>
      </c>
    </row>
    <row r="10" spans="1:17">
      <c r="B10" s="5" t="s">
        <v>204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6.83203125" style="5" bestFit="1" customWidth="1"/>
    <col min="3" max="3" width="26.33203125" style="5" bestFit="1" customWidth="1"/>
    <col min="4" max="4" width="15.5" style="5" bestFit="1" customWidth="1"/>
    <col min="5" max="5" width="11.6640625" style="5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10.33203125" style="6" customWidth="1"/>
    <col min="13" max="13" width="21.1640625" style="5" customWidth="1"/>
    <col min="14" max="16384" width="9.1640625" style="3"/>
  </cols>
  <sheetData>
    <row r="1" spans="1:13" s="2" customFormat="1" ht="29" customHeight="1">
      <c r="A1" s="87" t="s">
        <v>611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9</v>
      </c>
      <c r="H3" s="83"/>
      <c r="I3" s="83"/>
      <c r="J3" s="83"/>
      <c r="K3" s="83" t="s">
        <v>319</v>
      </c>
      <c r="L3" s="83" t="s">
        <v>3</v>
      </c>
      <c r="M3" s="98" t="s">
        <v>2</v>
      </c>
    </row>
    <row r="4" spans="1:13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84"/>
      <c r="L4" s="84"/>
      <c r="M4" s="99"/>
    </row>
    <row r="5" spans="1:13" ht="16">
      <c r="A5" s="81" t="s">
        <v>123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14" t="s">
        <v>206</v>
      </c>
      <c r="B6" s="13" t="s">
        <v>416</v>
      </c>
      <c r="C6" s="13" t="s">
        <v>417</v>
      </c>
      <c r="D6" s="13" t="s">
        <v>418</v>
      </c>
      <c r="E6" s="13" t="s">
        <v>657</v>
      </c>
      <c r="F6" s="13" t="s">
        <v>77</v>
      </c>
      <c r="G6" s="26" t="s">
        <v>87</v>
      </c>
      <c r="H6" s="26" t="s">
        <v>87</v>
      </c>
      <c r="I6" s="26" t="s">
        <v>87</v>
      </c>
      <c r="J6" s="14"/>
      <c r="K6" s="32">
        <v>0</v>
      </c>
      <c r="L6" s="14" t="str">
        <f>"0,0000"</f>
        <v>0,0000</v>
      </c>
      <c r="M6" s="13" t="s">
        <v>652</v>
      </c>
    </row>
    <row r="7" spans="1:13">
      <c r="B7" s="5" t="s">
        <v>204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18"/>
  <sheetViews>
    <sheetView workbookViewId="0">
      <selection activeCell="E18" sqref="E18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6640625" style="5" customWidth="1"/>
    <col min="14" max="16384" width="9.1640625" style="3"/>
  </cols>
  <sheetData>
    <row r="1" spans="1:13" s="2" customFormat="1" ht="29" customHeight="1">
      <c r="A1" s="87" t="s">
        <v>612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s="2" customFormat="1" ht="62" customHeight="1" thickBot="1">
      <c r="A2" s="91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s="1" customFormat="1" ht="12.75" customHeight="1">
      <c r="A3" s="95" t="s">
        <v>651</v>
      </c>
      <c r="B3" s="100" t="s">
        <v>0</v>
      </c>
      <c r="C3" s="97" t="s">
        <v>655</v>
      </c>
      <c r="D3" s="97" t="s">
        <v>8</v>
      </c>
      <c r="E3" s="83" t="s">
        <v>656</v>
      </c>
      <c r="F3" s="83" t="s">
        <v>5</v>
      </c>
      <c r="G3" s="83" t="s">
        <v>9</v>
      </c>
      <c r="H3" s="83"/>
      <c r="I3" s="83"/>
      <c r="J3" s="83"/>
      <c r="K3" s="83" t="s">
        <v>319</v>
      </c>
      <c r="L3" s="83" t="s">
        <v>3</v>
      </c>
      <c r="M3" s="98" t="s">
        <v>2</v>
      </c>
    </row>
    <row r="4" spans="1:13" s="1" customFormat="1" ht="21" customHeight="1" thickBot="1">
      <c r="A4" s="96"/>
      <c r="B4" s="101"/>
      <c r="C4" s="84"/>
      <c r="D4" s="84"/>
      <c r="E4" s="84"/>
      <c r="F4" s="84"/>
      <c r="G4" s="4">
        <v>1</v>
      </c>
      <c r="H4" s="4">
        <v>2</v>
      </c>
      <c r="I4" s="4">
        <v>3</v>
      </c>
      <c r="J4" s="4" t="s">
        <v>4</v>
      </c>
      <c r="K4" s="84"/>
      <c r="L4" s="84"/>
      <c r="M4" s="99"/>
    </row>
    <row r="5" spans="1:13" ht="16">
      <c r="A5" s="81" t="s">
        <v>241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8" t="s">
        <v>202</v>
      </c>
      <c r="B6" s="7" t="s">
        <v>242</v>
      </c>
      <c r="C6" s="7" t="s">
        <v>547</v>
      </c>
      <c r="D6" s="7" t="s">
        <v>243</v>
      </c>
      <c r="E6" s="7" t="s">
        <v>663</v>
      </c>
      <c r="F6" s="7" t="s">
        <v>77</v>
      </c>
      <c r="G6" s="38" t="s">
        <v>17</v>
      </c>
      <c r="H6" s="38" t="s">
        <v>54</v>
      </c>
      <c r="I6" s="48" t="s">
        <v>43</v>
      </c>
      <c r="J6" s="8"/>
      <c r="K6" s="8" t="str">
        <f>"90,0"</f>
        <v>90,0</v>
      </c>
      <c r="L6" s="8" t="str">
        <f>"239,4900"</f>
        <v>239,4900</v>
      </c>
      <c r="M6" s="7" t="s">
        <v>239</v>
      </c>
    </row>
    <row r="7" spans="1:13">
      <c r="A7" s="12" t="s">
        <v>202</v>
      </c>
      <c r="B7" s="11" t="s">
        <v>242</v>
      </c>
      <c r="C7" s="11" t="s">
        <v>244</v>
      </c>
      <c r="D7" s="11" t="s">
        <v>243</v>
      </c>
      <c r="E7" s="11" t="s">
        <v>657</v>
      </c>
      <c r="F7" s="11" t="s">
        <v>77</v>
      </c>
      <c r="G7" s="42" t="s">
        <v>17</v>
      </c>
      <c r="H7" s="42" t="s">
        <v>54</v>
      </c>
      <c r="I7" s="49" t="s">
        <v>43</v>
      </c>
      <c r="J7" s="12"/>
      <c r="K7" s="12" t="str">
        <f>"90,0"</f>
        <v>90,0</v>
      </c>
      <c r="L7" s="12" t="str">
        <f>"239,4900"</f>
        <v>239,4900</v>
      </c>
      <c r="M7" s="11" t="s">
        <v>239</v>
      </c>
    </row>
    <row r="8" spans="1:13">
      <c r="B8" s="5" t="s">
        <v>204</v>
      </c>
    </row>
    <row r="9" spans="1:13" ht="16">
      <c r="A9" s="80" t="s">
        <v>247</v>
      </c>
      <c r="B9" s="80"/>
      <c r="C9" s="80"/>
      <c r="D9" s="80"/>
      <c r="E9" s="80"/>
      <c r="F9" s="80"/>
      <c r="G9" s="80"/>
      <c r="H9" s="80"/>
      <c r="I9" s="80"/>
      <c r="J9" s="80"/>
    </row>
    <row r="10" spans="1:13">
      <c r="A10" s="8" t="s">
        <v>202</v>
      </c>
      <c r="B10" s="7" t="s">
        <v>248</v>
      </c>
      <c r="C10" s="7" t="s">
        <v>548</v>
      </c>
      <c r="D10" s="7" t="s">
        <v>249</v>
      </c>
      <c r="E10" s="7" t="s">
        <v>660</v>
      </c>
      <c r="F10" s="7" t="s">
        <v>250</v>
      </c>
      <c r="G10" s="38" t="s">
        <v>29</v>
      </c>
      <c r="H10" s="38" t="s">
        <v>35</v>
      </c>
      <c r="I10" s="38" t="s">
        <v>17</v>
      </c>
      <c r="J10" s="8"/>
      <c r="K10" s="8" t="str">
        <f>"80,0"</f>
        <v>80,0</v>
      </c>
      <c r="L10" s="8" t="str">
        <f>"171,9040"</f>
        <v>171,9040</v>
      </c>
      <c r="M10" s="7" t="s">
        <v>239</v>
      </c>
    </row>
    <row r="11" spans="1:13">
      <c r="A11" s="12" t="s">
        <v>202</v>
      </c>
      <c r="B11" s="11" t="s">
        <v>248</v>
      </c>
      <c r="C11" s="11" t="s">
        <v>251</v>
      </c>
      <c r="D11" s="11" t="s">
        <v>249</v>
      </c>
      <c r="E11" s="11" t="s">
        <v>657</v>
      </c>
      <c r="F11" s="11" t="s">
        <v>250</v>
      </c>
      <c r="G11" s="42" t="s">
        <v>29</v>
      </c>
      <c r="H11" s="42" t="s">
        <v>35</v>
      </c>
      <c r="I11" s="42" t="s">
        <v>17</v>
      </c>
      <c r="J11" s="12"/>
      <c r="K11" s="12" t="str">
        <f>"80,0"</f>
        <v>80,0</v>
      </c>
      <c r="L11" s="12" t="str">
        <f>"171,9040"</f>
        <v>171,9040</v>
      </c>
      <c r="M11" s="11" t="s">
        <v>239</v>
      </c>
    </row>
    <row r="12" spans="1:13">
      <c r="B12" s="5" t="s">
        <v>204</v>
      </c>
    </row>
    <row r="13" spans="1:13" ht="16">
      <c r="A13" s="80" t="s">
        <v>12</v>
      </c>
      <c r="B13" s="80"/>
      <c r="C13" s="80"/>
      <c r="D13" s="80"/>
      <c r="E13" s="80"/>
      <c r="F13" s="80"/>
      <c r="G13" s="80"/>
      <c r="H13" s="80"/>
      <c r="I13" s="80"/>
      <c r="J13" s="80"/>
    </row>
    <row r="14" spans="1:13">
      <c r="A14" s="8" t="s">
        <v>202</v>
      </c>
      <c r="B14" s="7" t="s">
        <v>252</v>
      </c>
      <c r="C14" s="7" t="s">
        <v>549</v>
      </c>
      <c r="D14" s="7" t="s">
        <v>253</v>
      </c>
      <c r="E14" s="7" t="s">
        <v>660</v>
      </c>
      <c r="F14" s="33" t="s">
        <v>586</v>
      </c>
      <c r="G14" s="38" t="s">
        <v>35</v>
      </c>
      <c r="H14" s="21" t="s">
        <v>17</v>
      </c>
      <c r="I14" s="54" t="s">
        <v>73</v>
      </c>
      <c r="J14" s="41"/>
      <c r="K14" s="8" t="str">
        <f>"80,0"</f>
        <v>80,0</v>
      </c>
      <c r="L14" s="8" t="str">
        <f>"158,7200"</f>
        <v>158,7200</v>
      </c>
      <c r="M14" s="7" t="s">
        <v>239</v>
      </c>
    </row>
    <row r="15" spans="1:13">
      <c r="A15" s="10" t="s">
        <v>202</v>
      </c>
      <c r="B15" s="9" t="s">
        <v>256</v>
      </c>
      <c r="C15" s="9" t="s">
        <v>550</v>
      </c>
      <c r="D15" s="9" t="s">
        <v>257</v>
      </c>
      <c r="E15" s="9" t="s">
        <v>663</v>
      </c>
      <c r="F15" s="70" t="s">
        <v>26</v>
      </c>
      <c r="G15" s="55" t="s">
        <v>50</v>
      </c>
      <c r="H15" s="22" t="s">
        <v>29</v>
      </c>
      <c r="I15" s="57" t="s">
        <v>35</v>
      </c>
      <c r="J15" s="53"/>
      <c r="K15" s="10" t="str">
        <f>"75,0"</f>
        <v>75,0</v>
      </c>
      <c r="L15" s="10" t="str">
        <f>"145,0500"</f>
        <v>145,0500</v>
      </c>
      <c r="M15" s="9" t="s">
        <v>652</v>
      </c>
    </row>
    <row r="16" spans="1:13">
      <c r="A16" s="10" t="s">
        <v>202</v>
      </c>
      <c r="B16" s="9" t="s">
        <v>252</v>
      </c>
      <c r="C16" s="9" t="s">
        <v>261</v>
      </c>
      <c r="D16" s="9" t="s">
        <v>253</v>
      </c>
      <c r="E16" s="9" t="s">
        <v>657</v>
      </c>
      <c r="F16" s="70" t="s">
        <v>586</v>
      </c>
      <c r="G16" s="55" t="s">
        <v>35</v>
      </c>
      <c r="H16" s="22" t="s">
        <v>17</v>
      </c>
      <c r="I16" s="56" t="s">
        <v>73</v>
      </c>
      <c r="J16" s="53"/>
      <c r="K16" s="10" t="str">
        <f>"80,0"</f>
        <v>80,0</v>
      </c>
      <c r="L16" s="10" t="str">
        <f>"158,7200"</f>
        <v>158,7200</v>
      </c>
      <c r="M16" s="9" t="s">
        <v>239</v>
      </c>
    </row>
    <row r="17" spans="1:13">
      <c r="A17" s="12" t="s">
        <v>203</v>
      </c>
      <c r="B17" s="11" t="s">
        <v>256</v>
      </c>
      <c r="C17" s="11" t="s">
        <v>262</v>
      </c>
      <c r="D17" s="11" t="s">
        <v>257</v>
      </c>
      <c r="E17" s="11" t="s">
        <v>657</v>
      </c>
      <c r="F17" s="34" t="s">
        <v>26</v>
      </c>
      <c r="G17" s="42" t="s">
        <v>50</v>
      </c>
      <c r="H17" s="24" t="s">
        <v>29</v>
      </c>
      <c r="I17" s="47" t="s">
        <v>35</v>
      </c>
      <c r="J17" s="45"/>
      <c r="K17" s="12" t="str">
        <f>"75,0"</f>
        <v>75,0</v>
      </c>
      <c r="L17" s="12" t="str">
        <f>"145,0500"</f>
        <v>145,0500</v>
      </c>
      <c r="M17" s="11" t="s">
        <v>652</v>
      </c>
    </row>
    <row r="18" spans="1:13">
      <c r="B18" s="5" t="s">
        <v>204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3:J13"/>
    <mergeCell ref="B3:B4"/>
    <mergeCell ref="K3:K4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GPA ПЛ без экипировки ДК</vt:lpstr>
      <vt:lpstr>GPA ПЛ без экипировки</vt:lpstr>
      <vt:lpstr>GPA ПЛ в бинтах ДК</vt:lpstr>
      <vt:lpstr>GPA ПЛ в бинтах</vt:lpstr>
      <vt:lpstr>IPO ПЛ однослой ДК</vt:lpstr>
      <vt:lpstr>GPA Двоеборье без экип ДК</vt:lpstr>
      <vt:lpstr>GPA Двоеборье без экип</vt:lpstr>
      <vt:lpstr>GPA Присед без экипировки ДК</vt:lpstr>
      <vt:lpstr>GPA Присед в бинтах ДК</vt:lpstr>
      <vt:lpstr>GPA Присед в бинтах</vt:lpstr>
      <vt:lpstr>GPA Жим без экипировки ДК</vt:lpstr>
      <vt:lpstr>GPA Жим без экипировки</vt:lpstr>
      <vt:lpstr>IPO Жим однослой ДК</vt:lpstr>
      <vt:lpstr>СПР Жим софт однопетельная ДК</vt:lpstr>
      <vt:lpstr>СПР Жим софт однопетельная</vt:lpstr>
      <vt:lpstr>СПР Жим софт многопетельная ДК</vt:lpstr>
      <vt:lpstr>СПР Жим СФО</vt:lpstr>
      <vt:lpstr>IPO Тяга в экипировке</vt:lpstr>
      <vt:lpstr>GPA Тяга без экипировки ДК</vt:lpstr>
      <vt:lpstr>GPA Тяга без экипировки</vt:lpstr>
      <vt:lpstr>СПР Пауэрспорт ДК</vt:lpstr>
      <vt:lpstr>СПР Жим стоя ДК</vt:lpstr>
      <vt:lpstr>СПР Жим стоя</vt:lpstr>
      <vt:lpstr>СПР Подъем на бицепс ДК</vt:lpstr>
      <vt:lpstr>СПР Подъем на бицепс</vt:lpstr>
      <vt:lpstr>ФЖД Любители двоеборье</vt:lpstr>
      <vt:lpstr>ФЖД Любители жим максимум ДК</vt:lpstr>
      <vt:lpstr>ФЖД Любители жим максимум</vt:lpstr>
      <vt:lpstr>ФЖД Софт однопетельн.макс.</vt:lpstr>
      <vt:lpstr>ФЖД Армейский жим макс.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2022-03-21T11:42:06Z</dcterms:modified>
</cp:coreProperties>
</file>