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Февраль/"/>
    </mc:Choice>
  </mc:AlternateContent>
  <xr:revisionPtr revIDLastSave="0" documentId="13_ncr:1_{6CEC83DE-6767-1842-A192-6F2E177A5028}" xr6:coauthVersionLast="45" xr6:coauthVersionMax="45" xr10:uidLastSave="{00000000-0000-0000-0000-000000000000}"/>
  <bookViews>
    <workbookView xWindow="0" yWindow="460" windowWidth="28800" windowHeight="15620" tabRatio="814" firstSheet="13" activeTab="18" xr2:uid="{00000000-000D-0000-FFFF-FFFF00000000}"/>
  </bookViews>
  <sheets>
    <sheet name="WRPF ПЛ без экипировки ДК" sheetId="13" r:id="rId1"/>
    <sheet name="WRPF ПЛ без экипировки" sheetId="12" r:id="rId2"/>
    <sheet name="WRPF ПЛ в бинтах ДК" sheetId="11" r:id="rId3"/>
    <sheet name="WRPF ПЛ в бинтах" sheetId="10" r:id="rId4"/>
    <sheet name="WRPF Двоеборье без экип ДК" sheetId="26" r:id="rId5"/>
    <sheet name="WRPF Двоеборье без экип" sheetId="25" r:id="rId6"/>
    <sheet name="WRPF Жим лежа без экип ДК" sheetId="17" r:id="rId7"/>
    <sheet name="WRPF Жим лежа без экип" sheetId="16" r:id="rId8"/>
    <sheet name="WEPF Жим однослой" sheetId="19" r:id="rId9"/>
    <sheet name="WEPF Жим софт однопетельная ДК" sheetId="18" r:id="rId10"/>
    <sheet name="WEPF Жим софт однопетельная" sheetId="14" r:id="rId11"/>
    <sheet name="WEPF Жим софт многопетельнаяДК" sheetId="22" r:id="rId12"/>
    <sheet name="WEPF Жим софт многопетельная" sheetId="21" r:id="rId13"/>
    <sheet name="WRPF Военный жим ДК" sheetId="20" r:id="rId14"/>
    <sheet name="WRPF Военный жим" sheetId="15" r:id="rId15"/>
    <sheet name="WRPF Тяга без экипировки ДК" sheetId="24" r:id="rId16"/>
    <sheet name="WRPF Тяга без экипировки" sheetId="23" r:id="rId17"/>
    <sheet name="WRPF Подъем на бицепс ДК" sheetId="28" r:id="rId18"/>
    <sheet name="WRPF Подъем на бицепс" sheetId="27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28" l="1"/>
  <c r="M14" i="28"/>
  <c r="L16" i="28"/>
  <c r="K16" i="28"/>
  <c r="L15" i="28"/>
  <c r="K15" i="28"/>
  <c r="L14" i="28"/>
  <c r="K14" i="28"/>
  <c r="L11" i="28"/>
  <c r="K11" i="28"/>
  <c r="L8" i="28"/>
  <c r="K8" i="28"/>
  <c r="L7" i="28"/>
  <c r="K7" i="28"/>
  <c r="L6" i="28"/>
  <c r="K6" i="28"/>
  <c r="L21" i="27"/>
  <c r="K21" i="27"/>
  <c r="L18" i="27"/>
  <c r="K18" i="27"/>
  <c r="L17" i="27"/>
  <c r="K17" i="27"/>
  <c r="L16" i="27"/>
  <c r="K16" i="27"/>
  <c r="L13" i="27"/>
  <c r="K13" i="27"/>
  <c r="L10" i="27"/>
  <c r="K10" i="27"/>
  <c r="L9" i="27"/>
  <c r="K9" i="27"/>
  <c r="L6" i="27"/>
  <c r="K6" i="27"/>
  <c r="P23" i="26"/>
  <c r="O23" i="26"/>
  <c r="P22" i="26"/>
  <c r="O22" i="26"/>
  <c r="P19" i="26"/>
  <c r="O19" i="26"/>
  <c r="P18" i="26"/>
  <c r="O18" i="26"/>
  <c r="P15" i="26"/>
  <c r="O15" i="26"/>
  <c r="P14" i="26"/>
  <c r="O14" i="26"/>
  <c r="P13" i="26"/>
  <c r="O13" i="26"/>
  <c r="P10" i="26"/>
  <c r="O10" i="26"/>
  <c r="P7" i="26"/>
  <c r="O7" i="26"/>
  <c r="P6" i="26"/>
  <c r="O6" i="26"/>
  <c r="P6" i="25"/>
  <c r="O6" i="25"/>
  <c r="L28" i="24"/>
  <c r="K28" i="24"/>
  <c r="L25" i="24"/>
  <c r="K25" i="24"/>
  <c r="L24" i="24"/>
  <c r="K24" i="24"/>
  <c r="L21" i="24"/>
  <c r="K21" i="24"/>
  <c r="L20" i="24"/>
  <c r="K20" i="24"/>
  <c r="L19" i="24"/>
  <c r="K19" i="24"/>
  <c r="L18" i="24"/>
  <c r="K18" i="24"/>
  <c r="L15" i="24"/>
  <c r="K15" i="24"/>
  <c r="L14" i="24"/>
  <c r="K14" i="24"/>
  <c r="L11" i="24"/>
  <c r="K11" i="24"/>
  <c r="L10" i="24"/>
  <c r="K10" i="24"/>
  <c r="L9" i="24"/>
  <c r="K9" i="24"/>
  <c r="L6" i="24"/>
  <c r="K6" i="24"/>
  <c r="L24" i="23"/>
  <c r="K24" i="23"/>
  <c r="L21" i="23"/>
  <c r="K21" i="23"/>
  <c r="L20" i="23"/>
  <c r="K20" i="23"/>
  <c r="L19" i="23"/>
  <c r="K19" i="23"/>
  <c r="L18" i="23"/>
  <c r="K18" i="23"/>
  <c r="L15" i="23"/>
  <c r="K15" i="23"/>
  <c r="L12" i="23"/>
  <c r="K12" i="23"/>
  <c r="L9" i="23"/>
  <c r="K9" i="23"/>
  <c r="L6" i="23"/>
  <c r="K6" i="23"/>
  <c r="L7" i="22"/>
  <c r="K7" i="22"/>
  <c r="L6" i="22"/>
  <c r="K6" i="22"/>
  <c r="L7" i="21"/>
  <c r="K7" i="21"/>
  <c r="L6" i="21"/>
  <c r="K6" i="21"/>
  <c r="L16" i="20"/>
  <c r="K16" i="20"/>
  <c r="L13" i="20"/>
  <c r="K13" i="20"/>
  <c r="L12" i="20"/>
  <c r="K12" i="20"/>
  <c r="L9" i="20"/>
  <c r="L6" i="20"/>
  <c r="K6" i="20"/>
  <c r="L6" i="19"/>
  <c r="K6" i="19"/>
  <c r="L10" i="18"/>
  <c r="K10" i="18"/>
  <c r="L9" i="18"/>
  <c r="K9" i="18"/>
  <c r="L6" i="18"/>
  <c r="K6" i="18"/>
  <c r="L51" i="17"/>
  <c r="K51" i="17"/>
  <c r="L50" i="17"/>
  <c r="K50" i="17"/>
  <c r="L49" i="17"/>
  <c r="K49" i="17"/>
  <c r="L48" i="17"/>
  <c r="K48" i="17"/>
  <c r="L47" i="17"/>
  <c r="K47" i="17"/>
  <c r="L44" i="17"/>
  <c r="K44" i="17"/>
  <c r="L43" i="17"/>
  <c r="K43" i="17"/>
  <c r="L42" i="17"/>
  <c r="K42" i="17"/>
  <c r="L41" i="17"/>
  <c r="K41" i="17"/>
  <c r="L38" i="17"/>
  <c r="K38" i="17"/>
  <c r="L37" i="17"/>
  <c r="K37" i="17"/>
  <c r="L36" i="17"/>
  <c r="K36" i="17"/>
  <c r="L33" i="17"/>
  <c r="K33" i="17"/>
  <c r="L32" i="17"/>
  <c r="K32" i="17"/>
  <c r="L31" i="17"/>
  <c r="K31" i="17"/>
  <c r="L30" i="17"/>
  <c r="K30" i="17"/>
  <c r="L29" i="17"/>
  <c r="K29" i="17"/>
  <c r="L26" i="17"/>
  <c r="K26" i="17"/>
  <c r="L25" i="17"/>
  <c r="K25" i="17"/>
  <c r="L24" i="17"/>
  <c r="K24" i="17"/>
  <c r="L21" i="17"/>
  <c r="K21" i="17"/>
  <c r="L20" i="17"/>
  <c r="K20" i="17"/>
  <c r="L19" i="17"/>
  <c r="K19" i="17"/>
  <c r="L18" i="17"/>
  <c r="K18" i="17"/>
  <c r="L17" i="17"/>
  <c r="K17" i="17"/>
  <c r="L16" i="17"/>
  <c r="K16" i="17"/>
  <c r="L13" i="17"/>
  <c r="K13" i="17"/>
  <c r="L12" i="17"/>
  <c r="K12" i="17"/>
  <c r="L9" i="17"/>
  <c r="K9" i="17"/>
  <c r="L6" i="17"/>
  <c r="K6" i="17"/>
  <c r="L10" i="16"/>
  <c r="K10" i="16"/>
  <c r="L9" i="16"/>
  <c r="K9" i="16"/>
  <c r="L6" i="16"/>
  <c r="K6" i="16"/>
  <c r="L6" i="15"/>
  <c r="K6" i="15"/>
  <c r="L7" i="14"/>
  <c r="K7" i="14"/>
  <c r="L6" i="14"/>
  <c r="K6" i="14"/>
  <c r="T48" i="13"/>
  <c r="S48" i="13"/>
  <c r="T45" i="13"/>
  <c r="S45" i="13"/>
  <c r="T42" i="13"/>
  <c r="S42" i="13"/>
  <c r="T41" i="13"/>
  <c r="S41" i="13"/>
  <c r="T40" i="13"/>
  <c r="S40" i="13"/>
  <c r="T37" i="13"/>
  <c r="S37" i="13"/>
  <c r="T36" i="13"/>
  <c r="S36" i="13"/>
  <c r="T35" i="13"/>
  <c r="S35" i="13"/>
  <c r="T34" i="13"/>
  <c r="S34" i="13"/>
  <c r="T31" i="13"/>
  <c r="S31" i="13"/>
  <c r="T30" i="13"/>
  <c r="S30" i="13"/>
  <c r="T29" i="13"/>
  <c r="S29" i="13"/>
  <c r="T26" i="13"/>
  <c r="S26" i="13"/>
  <c r="T25" i="13"/>
  <c r="S25" i="13"/>
  <c r="T22" i="13"/>
  <c r="S22" i="13"/>
  <c r="T19" i="13"/>
  <c r="S19" i="13"/>
  <c r="T16" i="13"/>
  <c r="S16" i="13"/>
  <c r="T15" i="13"/>
  <c r="S15" i="13"/>
  <c r="T12" i="13"/>
  <c r="S12" i="13"/>
  <c r="T9" i="13"/>
  <c r="T6" i="13"/>
  <c r="S6" i="13"/>
  <c r="T25" i="12"/>
  <c r="S25" i="12"/>
  <c r="T24" i="12"/>
  <c r="S24" i="12"/>
  <c r="T23" i="12"/>
  <c r="S23" i="12"/>
  <c r="T20" i="12"/>
  <c r="S20" i="12"/>
  <c r="T19" i="12"/>
  <c r="S19" i="12"/>
  <c r="T16" i="12"/>
  <c r="S16" i="12"/>
  <c r="T15" i="12"/>
  <c r="S15" i="12"/>
  <c r="T12" i="12"/>
  <c r="S12" i="12"/>
  <c r="T9" i="12"/>
  <c r="S9" i="12"/>
  <c r="T6" i="12"/>
  <c r="S6" i="12"/>
  <c r="T17" i="11"/>
  <c r="S17" i="11"/>
  <c r="T16" i="11"/>
  <c r="S16" i="11"/>
  <c r="T13" i="11"/>
  <c r="S13" i="11"/>
  <c r="T10" i="11"/>
  <c r="S10" i="11"/>
  <c r="T9" i="11"/>
  <c r="S9" i="11"/>
  <c r="T6" i="11"/>
  <c r="T20" i="10"/>
  <c r="S20" i="10"/>
  <c r="T19" i="10"/>
  <c r="S19" i="10"/>
  <c r="T16" i="10"/>
  <c r="S16" i="10"/>
  <c r="T13" i="10"/>
  <c r="S13" i="10"/>
  <c r="T12" i="10"/>
  <c r="S12" i="10"/>
  <c r="T9" i="10"/>
  <c r="T6" i="10"/>
  <c r="S6" i="10"/>
</calcChain>
</file>

<file path=xl/sharedStrings.xml><?xml version="1.0" encoding="utf-8"?>
<sst xmlns="http://schemas.openxmlformats.org/spreadsheetml/2006/main" count="2160" uniqueCount="468">
  <si>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</si>
  <si>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</si>
  <si>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</si>
  <si>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</si>
  <si>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</si>
  <si>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</si>
  <si>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</si>
  <si>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Габаев Усман</t>
  </si>
  <si>
    <t>109,10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</si>
  <si>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</si>
  <si>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</si>
  <si>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</si>
  <si>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</si>
  <si>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Сумма </t>
  </si>
  <si>
    <t xml:space="preserve">Результат </t>
  </si>
  <si>
    <t>Результат</t>
  </si>
  <si>
    <t>1</t>
  </si>
  <si>
    <t/>
  </si>
  <si>
    <t>Темботов Рустам</t>
  </si>
  <si>
    <t>75,00</t>
  </si>
  <si>
    <t xml:space="preserve">Баксан/Кабардино-Балкария </t>
  </si>
  <si>
    <t>80,0</t>
  </si>
  <si>
    <t>105,0</t>
  </si>
  <si>
    <t>120,0</t>
  </si>
  <si>
    <t xml:space="preserve">Тхамитлоков К. </t>
  </si>
  <si>
    <t>ВЕСОВАЯ КАТЕГОРИЯ   100</t>
  </si>
  <si>
    <t>Сидякин Евгений</t>
  </si>
  <si>
    <t>99,40</t>
  </si>
  <si>
    <t>50,0</t>
  </si>
  <si>
    <t>90,0</t>
  </si>
  <si>
    <t>40,0</t>
  </si>
  <si>
    <t>110,0</t>
  </si>
  <si>
    <t>100</t>
  </si>
  <si>
    <t>Приседание</t>
  </si>
  <si>
    <t>Жим лёжа</t>
  </si>
  <si>
    <t>Становая тяга</t>
  </si>
  <si>
    <t>ВЕСОВАЯ КАТЕГОРИЯ   75</t>
  </si>
  <si>
    <t>Ерижоков Алан</t>
  </si>
  <si>
    <t>Юноши 17-19 (29.04.2003)/18</t>
  </si>
  <si>
    <t>72,50</t>
  </si>
  <si>
    <t>185,0</t>
  </si>
  <si>
    <t>200,0</t>
  </si>
  <si>
    <t>210,0</t>
  </si>
  <si>
    <t>100,0</t>
  </si>
  <si>
    <t>170,0</t>
  </si>
  <si>
    <t>ВЕСОВАЯ КАТЕГОРИЯ   82.5</t>
  </si>
  <si>
    <t>Кулишов Виктор</t>
  </si>
  <si>
    <t>Открытая (24.08.1996)/25</t>
  </si>
  <si>
    <t>82,30</t>
  </si>
  <si>
    <t xml:space="preserve">Пятигорск/Ставропольский край </t>
  </si>
  <si>
    <t>250,0</t>
  </si>
  <si>
    <t>255,0</t>
  </si>
  <si>
    <t>260,0</t>
  </si>
  <si>
    <t>155,0</t>
  </si>
  <si>
    <t>265,0</t>
  </si>
  <si>
    <t xml:space="preserve">Кечемаев А. </t>
  </si>
  <si>
    <t>ВЕСОВАЯ КАТЕГОРИЯ   90</t>
  </si>
  <si>
    <t>Идармачев Ибрагим</t>
  </si>
  <si>
    <t>Открытая (17.07.1985)/36</t>
  </si>
  <si>
    <t>90,00</t>
  </si>
  <si>
    <t>205,0</t>
  </si>
  <si>
    <t>220,0</t>
  </si>
  <si>
    <t>232,5</t>
  </si>
  <si>
    <t>135,0</t>
  </si>
  <si>
    <t>145,0</t>
  </si>
  <si>
    <t>152,5</t>
  </si>
  <si>
    <t>225,0</t>
  </si>
  <si>
    <t>237,5</t>
  </si>
  <si>
    <t>Исаков Тимур</t>
  </si>
  <si>
    <t>Открытая (15.08.1987)/34</t>
  </si>
  <si>
    <t>89,00</t>
  </si>
  <si>
    <t>215,0</t>
  </si>
  <si>
    <t>140,0</t>
  </si>
  <si>
    <t>222,5</t>
  </si>
  <si>
    <t>230,0</t>
  </si>
  <si>
    <t xml:space="preserve">Магомедов А. </t>
  </si>
  <si>
    <t>Игнатов Александр</t>
  </si>
  <si>
    <t>Юниоры (21.08.1999)/22</t>
  </si>
  <si>
    <t>98,30</t>
  </si>
  <si>
    <t xml:space="preserve">Красногвардейское/Ставропольский край </t>
  </si>
  <si>
    <t>130,0</t>
  </si>
  <si>
    <t>240,0</t>
  </si>
  <si>
    <t xml:space="preserve">Нойманн Ю. </t>
  </si>
  <si>
    <t>ВЕСОВАЯ КАТЕГОРИЯ   125</t>
  </si>
  <si>
    <t>Алиев Исамудин</t>
  </si>
  <si>
    <t>Открытая (06.08.1978)/43</t>
  </si>
  <si>
    <t>125,00</t>
  </si>
  <si>
    <t>270,0</t>
  </si>
  <si>
    <t>290,0</t>
  </si>
  <si>
    <t xml:space="preserve">Рамазанов И. </t>
  </si>
  <si>
    <t>Мастера 40-49 (06.08.1978)/43</t>
  </si>
  <si>
    <t xml:space="preserve">Юноши </t>
  </si>
  <si>
    <t xml:space="preserve">Wilks </t>
  </si>
  <si>
    <t xml:space="preserve">Юноши 17-19 </t>
  </si>
  <si>
    <t>75</t>
  </si>
  <si>
    <t xml:space="preserve">Открытая </t>
  </si>
  <si>
    <t>125</t>
  </si>
  <si>
    <t>90</t>
  </si>
  <si>
    <t>-</t>
  </si>
  <si>
    <t>2</t>
  </si>
  <si>
    <t>Салаев Усман</t>
  </si>
  <si>
    <t>Открытая (13.01.1984)/38</t>
  </si>
  <si>
    <t xml:space="preserve">Алиев И. </t>
  </si>
  <si>
    <t>Мазанаев Керим</t>
  </si>
  <si>
    <t>Открытая (28.02.1982)/40</t>
  </si>
  <si>
    <t>99,50</t>
  </si>
  <si>
    <t>160,0</t>
  </si>
  <si>
    <t>165,0</t>
  </si>
  <si>
    <t>275,0</t>
  </si>
  <si>
    <t xml:space="preserve">Ступников Р. </t>
  </si>
  <si>
    <t>Мастера 40-49 (28.02.1982)/40</t>
  </si>
  <si>
    <t>ВЕСОВАЯ КАТЕГОРИЯ   110</t>
  </si>
  <si>
    <t>Исрапилов Магомедамин</t>
  </si>
  <si>
    <t>Открытая (03.05.1975)/46</t>
  </si>
  <si>
    <t>108,00</t>
  </si>
  <si>
    <t>Мажидов Марат</t>
  </si>
  <si>
    <t>Открытая (07.08.1976)/45</t>
  </si>
  <si>
    <t>117,80</t>
  </si>
  <si>
    <t>177,5</t>
  </si>
  <si>
    <t>Мастера 40-49 (07.08.1976)/45</t>
  </si>
  <si>
    <t>110</t>
  </si>
  <si>
    <t>ВЕСОВАЯ КАТЕГОРИЯ   67.5</t>
  </si>
  <si>
    <t>Мелкумян Виктория</t>
  </si>
  <si>
    <t>Юниорки (05.02.2001)/21</t>
  </si>
  <si>
    <t>66,40</t>
  </si>
  <si>
    <t xml:space="preserve">Ставрополь/Ставропольский край </t>
  </si>
  <si>
    <t>60,0</t>
  </si>
  <si>
    <t>45,0</t>
  </si>
  <si>
    <t>95,0</t>
  </si>
  <si>
    <t>102,5</t>
  </si>
  <si>
    <t>Косенко Екатерина</t>
  </si>
  <si>
    <t>Мастера 40-49 (24.02.1978)/44</t>
  </si>
  <si>
    <t>72,00</t>
  </si>
  <si>
    <t xml:space="preserve">Армавир/Краснодарский край </t>
  </si>
  <si>
    <t>162,5</t>
  </si>
  <si>
    <t>85,0</t>
  </si>
  <si>
    <t>92,5</t>
  </si>
  <si>
    <t>97,5</t>
  </si>
  <si>
    <t>192,5</t>
  </si>
  <si>
    <t>Муртазалиев Лёма</t>
  </si>
  <si>
    <t>Открытая (28.02.1988)/34</t>
  </si>
  <si>
    <t>64,00</t>
  </si>
  <si>
    <t>142,5</t>
  </si>
  <si>
    <t>150,0</t>
  </si>
  <si>
    <t>175,0</t>
  </si>
  <si>
    <t>Хмара Артур</t>
  </si>
  <si>
    <t>Открытая (27.12.1983)/38</t>
  </si>
  <si>
    <t xml:space="preserve">Краснодар/Краснодарский край </t>
  </si>
  <si>
    <t>172,5</t>
  </si>
  <si>
    <t>272,5</t>
  </si>
  <si>
    <t xml:space="preserve">Шалоха А. </t>
  </si>
  <si>
    <t>Магомедов Руслан</t>
  </si>
  <si>
    <t>Мастера 40-49 (20.11.1980)/41</t>
  </si>
  <si>
    <t>252,5</t>
  </si>
  <si>
    <t>167,5</t>
  </si>
  <si>
    <t>Коротких Александр</t>
  </si>
  <si>
    <t>Открытая (12.08.1990)/31</t>
  </si>
  <si>
    <t>99,70</t>
  </si>
  <si>
    <t>207,5</t>
  </si>
  <si>
    <t>Новиков Николай</t>
  </si>
  <si>
    <t>Мастера 70-79 (21.05.1947)/74</t>
  </si>
  <si>
    <t>91,70</t>
  </si>
  <si>
    <t>65,0</t>
  </si>
  <si>
    <t>70,0</t>
  </si>
  <si>
    <t>180,0</t>
  </si>
  <si>
    <t>Иригов Аскер</t>
  </si>
  <si>
    <t>Открытая (07.06.1989)/32</t>
  </si>
  <si>
    <t>110,00</t>
  </si>
  <si>
    <t>300,0</t>
  </si>
  <si>
    <t>310,0</t>
  </si>
  <si>
    <t>315,0</t>
  </si>
  <si>
    <t>350,0</t>
  </si>
  <si>
    <t>375,0</t>
  </si>
  <si>
    <t>Соболь Андрей</t>
  </si>
  <si>
    <t>Открытая (14.05.1992)/29</t>
  </si>
  <si>
    <t>106,80</t>
  </si>
  <si>
    <t xml:space="preserve">Крымск/Краснодарский край </t>
  </si>
  <si>
    <t>247,5</t>
  </si>
  <si>
    <t>280,0</t>
  </si>
  <si>
    <t>292,5</t>
  </si>
  <si>
    <t>295,0</t>
  </si>
  <si>
    <t>Жигалов Руслан</t>
  </si>
  <si>
    <t>Открытая (10.08.1980)/41</t>
  </si>
  <si>
    <t>104,40</t>
  </si>
  <si>
    <t xml:space="preserve">Геленджик/Краснодарский край </t>
  </si>
  <si>
    <t>305,0</t>
  </si>
  <si>
    <t xml:space="preserve">Пысь Д. </t>
  </si>
  <si>
    <t>3</t>
  </si>
  <si>
    <t>Волкова Жанна</t>
  </si>
  <si>
    <t>Открытая (13.12.1990)/31</t>
  </si>
  <si>
    <t>73,80</t>
  </si>
  <si>
    <t>115,0</t>
  </si>
  <si>
    <t xml:space="preserve">Егоров А. </t>
  </si>
  <si>
    <t>ВЕСОВАЯ КАТЕГОРИЯ   52</t>
  </si>
  <si>
    <t>Трофимов Глеб</t>
  </si>
  <si>
    <t>Юноши 14-16 (25.09.2007)/14</t>
  </si>
  <si>
    <t>51,80</t>
  </si>
  <si>
    <t xml:space="preserve">Будённовск/Ставропольский край </t>
  </si>
  <si>
    <t>55,0</t>
  </si>
  <si>
    <t xml:space="preserve">Бобряшов В. </t>
  </si>
  <si>
    <t>ВЕСОВАЯ КАТЕГОРИЯ   56</t>
  </si>
  <si>
    <t>Гейвандов Арсен</t>
  </si>
  <si>
    <t>Юноши 14-16 (30.06.2005)/16</t>
  </si>
  <si>
    <t>54,20</t>
  </si>
  <si>
    <t>75,0</t>
  </si>
  <si>
    <t>ВЕСОВАЯ КАТЕГОРИЯ   60</t>
  </si>
  <si>
    <t>Цоколов Артём</t>
  </si>
  <si>
    <t>Юноши 14-16 (09.10.2007)/14</t>
  </si>
  <si>
    <t>58,00</t>
  </si>
  <si>
    <t>72,5</t>
  </si>
  <si>
    <t>77,5</t>
  </si>
  <si>
    <t>127,5</t>
  </si>
  <si>
    <t>132,5</t>
  </si>
  <si>
    <t>Аюбов Алихан</t>
  </si>
  <si>
    <t>Юноши 14-16 (01.12.2005)/16</t>
  </si>
  <si>
    <t>58,40</t>
  </si>
  <si>
    <t>Лягусь Константин</t>
  </si>
  <si>
    <t>Юноши 17-19 (13.06.2002)/19</t>
  </si>
  <si>
    <t>Шарданов Мурат</t>
  </si>
  <si>
    <t>Юноши 14-16 (28.12.2005)/16</t>
  </si>
  <si>
    <t>74,20</t>
  </si>
  <si>
    <t>82,5</t>
  </si>
  <si>
    <t>Успанов Байсангур</t>
  </si>
  <si>
    <t>Открытая (20.03.1990)/31</t>
  </si>
  <si>
    <t>82,50</t>
  </si>
  <si>
    <t>212,5</t>
  </si>
  <si>
    <t>217,5</t>
  </si>
  <si>
    <t xml:space="preserve">Гадзоев В. </t>
  </si>
  <si>
    <t>Спирин Илья</t>
  </si>
  <si>
    <t>Открытая (03.09.1988)/33</t>
  </si>
  <si>
    <t>81,00</t>
  </si>
  <si>
    <t>147,5</t>
  </si>
  <si>
    <t>107,5</t>
  </si>
  <si>
    <t xml:space="preserve">Шеин В. А. </t>
  </si>
  <si>
    <t>Вытришко Никита</t>
  </si>
  <si>
    <t>Юноши 17-19 (21.09.2004)/17</t>
  </si>
  <si>
    <t>88,00</t>
  </si>
  <si>
    <t>195,0</t>
  </si>
  <si>
    <t>125,0</t>
  </si>
  <si>
    <t xml:space="preserve">Спицын П. </t>
  </si>
  <si>
    <t>Логвинов Артем</t>
  </si>
  <si>
    <t>Открытая (03.09.1995)/26</t>
  </si>
  <si>
    <t>227,5</t>
  </si>
  <si>
    <t>257,5</t>
  </si>
  <si>
    <t xml:space="preserve">Арестов М. </t>
  </si>
  <si>
    <t>Чараев Муса</t>
  </si>
  <si>
    <t>Открытая (29.05.1990)/31</t>
  </si>
  <si>
    <t>190,0</t>
  </si>
  <si>
    <t>157,5</t>
  </si>
  <si>
    <t>Гейвандов Артём</t>
  </si>
  <si>
    <t>Юноши 14-16 (21.09.2009)/12</t>
  </si>
  <si>
    <t>91,90</t>
  </si>
  <si>
    <t>Пенкин Родион</t>
  </si>
  <si>
    <t>Юниоры (05.10.1999)/22</t>
  </si>
  <si>
    <t>99,60</t>
  </si>
  <si>
    <t xml:space="preserve">Георгиевск/Ставропольский край </t>
  </si>
  <si>
    <t>Открытая (05.10.1999)/22</t>
  </si>
  <si>
    <t>Перковский Даниил</t>
  </si>
  <si>
    <t>Открытая (26.03.1996)/25</t>
  </si>
  <si>
    <t>235,0</t>
  </si>
  <si>
    <t xml:space="preserve">Годзоев В. </t>
  </si>
  <si>
    <t>Арцуев Сулейман</t>
  </si>
  <si>
    <t>Открытая (09.07.1985)/36</t>
  </si>
  <si>
    <t>Мастера 40-49 (03.05.1975)/46</t>
  </si>
  <si>
    <t>Кунашев Эдуард</t>
  </si>
  <si>
    <t>Открытая (11.07.1985)/36</t>
  </si>
  <si>
    <t>112,50</t>
  </si>
  <si>
    <t>ВЕСОВАЯ КАТЕГОРИЯ   140</t>
  </si>
  <si>
    <t>Симонов Павел</t>
  </si>
  <si>
    <t>Открытая (20.07.1989)/32</t>
  </si>
  <si>
    <t>139,50</t>
  </si>
  <si>
    <t xml:space="preserve">Буденновск/Ставоопольский край </t>
  </si>
  <si>
    <t>585,0</t>
  </si>
  <si>
    <t>377,8515</t>
  </si>
  <si>
    <t xml:space="preserve">Юноши 14-16 </t>
  </si>
  <si>
    <t>56</t>
  </si>
  <si>
    <t>282,1200</t>
  </si>
  <si>
    <t>60</t>
  </si>
  <si>
    <t>264,0600</t>
  </si>
  <si>
    <t>655,0</t>
  </si>
  <si>
    <t>399,2880</t>
  </si>
  <si>
    <t>82.5</t>
  </si>
  <si>
    <t>637,5</t>
  </si>
  <si>
    <t>427,0613</t>
  </si>
  <si>
    <t>642,5</t>
  </si>
  <si>
    <t>391,6680</t>
  </si>
  <si>
    <t>Алиев Мурад</t>
  </si>
  <si>
    <t>Открытая (02.06.1988)/33</t>
  </si>
  <si>
    <t>89,90</t>
  </si>
  <si>
    <t>Плахотин Иван</t>
  </si>
  <si>
    <t>Открытая (01.02.1995)/27</t>
  </si>
  <si>
    <t>Мастера 40-49 (28.06.1981)/40</t>
  </si>
  <si>
    <t>ВЕСОВАЯ КАТЕГОРИЯ   48</t>
  </si>
  <si>
    <t>Зайцева Арина</t>
  </si>
  <si>
    <t>Открытая (20.01.1998)/24</t>
  </si>
  <si>
    <t>47,40</t>
  </si>
  <si>
    <t>52,5</t>
  </si>
  <si>
    <t>Лаптинов Иван</t>
  </si>
  <si>
    <t>Юноши 14-16 (31.01.2007)/15</t>
  </si>
  <si>
    <t>59,50</t>
  </si>
  <si>
    <t xml:space="preserve">Зеленокумск/Ставропольский край </t>
  </si>
  <si>
    <t>Аксельрод Богдан</t>
  </si>
  <si>
    <t>Юноши 14-16 (13.10.2005)/16</t>
  </si>
  <si>
    <t>117,5</t>
  </si>
  <si>
    <t>Панов Артем</t>
  </si>
  <si>
    <t>Юноши 14-16 (18.03.2005)/16</t>
  </si>
  <si>
    <t>74,00</t>
  </si>
  <si>
    <t xml:space="preserve">Красько А. </t>
  </si>
  <si>
    <t>Стародубцев Евгений</t>
  </si>
  <si>
    <t>Юноши 14-16 (27.06.2006)/15</t>
  </si>
  <si>
    <t>71,10</t>
  </si>
  <si>
    <t>Чалян Артавазд</t>
  </si>
  <si>
    <t>Юноши 17-19 (06.04.2002)/19</t>
  </si>
  <si>
    <t xml:space="preserve">Михайловск/Ставропольский край </t>
  </si>
  <si>
    <t xml:space="preserve">Лиховицкий И. </t>
  </si>
  <si>
    <t>Вагапов Халид</t>
  </si>
  <si>
    <t>Юниоры (22.11.2001)/20</t>
  </si>
  <si>
    <t>Рабаданов Рашид</t>
  </si>
  <si>
    <t>Открытая (11.11.1993)/28</t>
  </si>
  <si>
    <t xml:space="preserve">Даштиев Р. </t>
  </si>
  <si>
    <t>Назаренко Валерий</t>
  </si>
  <si>
    <t>Юниоры (19.08.1999)/22</t>
  </si>
  <si>
    <t>81,40</t>
  </si>
  <si>
    <t xml:space="preserve">Шрамко И. </t>
  </si>
  <si>
    <t>Открытая (19.08.1999)/22</t>
  </si>
  <si>
    <t>Востродымов Денис</t>
  </si>
  <si>
    <t>Открытая (06.09.1997)/24</t>
  </si>
  <si>
    <t>82,00</t>
  </si>
  <si>
    <t>Магомедов Курбан</t>
  </si>
  <si>
    <t>Открытая (16.05.1984)/37</t>
  </si>
  <si>
    <t>Байалиев Абдул</t>
  </si>
  <si>
    <t>Открытая (05.04.1993)/28</t>
  </si>
  <si>
    <t>85,90</t>
  </si>
  <si>
    <t xml:space="preserve">Лилаев У. </t>
  </si>
  <si>
    <t>Махмудов Ислам</t>
  </si>
  <si>
    <t>Открытая (20.02.1993)/29</t>
  </si>
  <si>
    <t>88,10</t>
  </si>
  <si>
    <t>Салманов Лом-Али</t>
  </si>
  <si>
    <t>Открытая (27.11.1992)/29</t>
  </si>
  <si>
    <t>Альвиев Халид</t>
  </si>
  <si>
    <t>Открытая (15.12.1993)/28</t>
  </si>
  <si>
    <t>Эчкал Александр</t>
  </si>
  <si>
    <t>Юноши 14-16 (15.03.2006)/15</t>
  </si>
  <si>
    <t>95,40</t>
  </si>
  <si>
    <t>Юноши 17-19 (20.02.2003)/19</t>
  </si>
  <si>
    <t>Прачёв Дмитрий</t>
  </si>
  <si>
    <t>Открытая (30.07.1993)/28</t>
  </si>
  <si>
    <t>116,20</t>
  </si>
  <si>
    <t>Галстян Самвел</t>
  </si>
  <si>
    <t>Открытая (05.12.1987)/34</t>
  </si>
  <si>
    <t>119,00</t>
  </si>
  <si>
    <t>Асхабалиев Ильяс</t>
  </si>
  <si>
    <t>Открытая (10.06.1984)/37</t>
  </si>
  <si>
    <t xml:space="preserve">Светлоград/Ставропольский край </t>
  </si>
  <si>
    <t>Казимагамедов Артур</t>
  </si>
  <si>
    <t>Мастера 40-49 (19.02.1980)/42</t>
  </si>
  <si>
    <t>116,50</t>
  </si>
  <si>
    <t>88,5000</t>
  </si>
  <si>
    <t>87,0205</t>
  </si>
  <si>
    <t>78,3860</t>
  </si>
  <si>
    <t>107,2075</t>
  </si>
  <si>
    <t>106,5785</t>
  </si>
  <si>
    <t>105,9300</t>
  </si>
  <si>
    <t>4</t>
  </si>
  <si>
    <t>5</t>
  </si>
  <si>
    <t>Михайленко Сергей</t>
  </si>
  <si>
    <t>Мастера 40-49 (26.02.1982)/40</t>
  </si>
  <si>
    <t>97,70</t>
  </si>
  <si>
    <t xml:space="preserve">Тарасов А. </t>
  </si>
  <si>
    <t>Юнусов Хаджимурад</t>
  </si>
  <si>
    <t>Мастера 40-49 (18.03.1980)/41</t>
  </si>
  <si>
    <t>87,80</t>
  </si>
  <si>
    <t xml:space="preserve">Горячий Ключ/Краснодарский край </t>
  </si>
  <si>
    <t>245,0</t>
  </si>
  <si>
    <t xml:space="preserve">Сизов А. </t>
  </si>
  <si>
    <t>Юноши 14-16 (15.02.2006)/16</t>
  </si>
  <si>
    <t>Даштиев Руслан</t>
  </si>
  <si>
    <t>Открытая (26.09.1984)/37</t>
  </si>
  <si>
    <t>Шрамко Игорь</t>
  </si>
  <si>
    <t>Открытая (07.10.1986)/35</t>
  </si>
  <si>
    <t>101,40</t>
  </si>
  <si>
    <t>205,9750</t>
  </si>
  <si>
    <t>191,5200</t>
  </si>
  <si>
    <t>177,7885</t>
  </si>
  <si>
    <t>Гальчева Мария</t>
  </si>
  <si>
    <t>Открытая (22.08.1997)/24</t>
  </si>
  <si>
    <t>54,70</t>
  </si>
  <si>
    <t xml:space="preserve">Ессентуки/Ставропольский край </t>
  </si>
  <si>
    <t xml:space="preserve">Аванесян С. </t>
  </si>
  <si>
    <t>Дудуев Рустам</t>
  </si>
  <si>
    <t>Открытая (26.06.1987)/34</t>
  </si>
  <si>
    <t>79,20</t>
  </si>
  <si>
    <t>Москвицов Данил</t>
  </si>
  <si>
    <t>Юноши 14-16 (14.01.2006)/16</t>
  </si>
  <si>
    <t>87,70</t>
  </si>
  <si>
    <t>Мафедзов Хасанби</t>
  </si>
  <si>
    <t>Открытая (30.10.1990)/31</t>
  </si>
  <si>
    <t>177,5235</t>
  </si>
  <si>
    <t>158,5480</t>
  </si>
  <si>
    <t>155,5470</t>
  </si>
  <si>
    <t>Подъем на бицепс</t>
  </si>
  <si>
    <t>12,5</t>
  </si>
  <si>
    <t>15,0</t>
  </si>
  <si>
    <t>20,0</t>
  </si>
  <si>
    <t>Дадеко Владислав</t>
  </si>
  <si>
    <t>67,50</t>
  </si>
  <si>
    <t>42,5</t>
  </si>
  <si>
    <t>Открытая (31.10.2003)/18</t>
  </si>
  <si>
    <t>57,5</t>
  </si>
  <si>
    <t>Темирбулатов Расул</t>
  </si>
  <si>
    <t>Открытая (29.07.1983)/38</t>
  </si>
  <si>
    <t>Открытая (28.06.1981)/40</t>
  </si>
  <si>
    <t>74,50</t>
  </si>
  <si>
    <t>62,5</t>
  </si>
  <si>
    <t>Гитиновасов Арсен</t>
  </si>
  <si>
    <t>Открытая (17.08.1987)/34</t>
  </si>
  <si>
    <t>80,90</t>
  </si>
  <si>
    <t xml:space="preserve">Хунзах/Республика Дагестан </t>
  </si>
  <si>
    <t>Шеин В.</t>
  </si>
  <si>
    <t xml:space="preserve">Латышев П. </t>
  </si>
  <si>
    <t>Тулпаров Ш.</t>
  </si>
  <si>
    <t>Латышев П.</t>
  </si>
  <si>
    <t>Всероссийский мастерский турнир «Кубок Георгия Победоносца»
WRPF Строгий подъем штанги на бицепс ДК
Ставрополь/Ставропольский край, 05 марта 2022 года</t>
  </si>
  <si>
    <t>Всероссийский мастерский турнир «Кубок Георгия Победоносца»
WRPF Строгий подъем штанги на бицепс
Ставрополь/Ставропольский край, 05 марта 2022 года</t>
  </si>
  <si>
    <t>Всероссийский мастерский турнир «Кубок Георгия Победоносца»
WRPF Силовое двоеборье без экипировки ДК
Ставрополь/Ставропольский край, 05 марта 2022 года</t>
  </si>
  <si>
    <t>Всероссийский мастерский турнир «Кубок Георгия Победоносца»
WRPF Силовое двоеборье без экипировки
Ставрополь/Ставропольский край, 05 марта 2022 года</t>
  </si>
  <si>
    <t>Всероссийский мастерский турнир «Кубок Георгия Победоносца»
WRPF Становая тяга без экипировки ДК
Ставрополь/Ставропольский край, 05 марта 2022 года</t>
  </si>
  <si>
    <t>Всероссийский мастерский турнир «Кубок Георгия Победоносца»
WRPF Становая тяга без экипировки
Ставрополь/Ставропольский край, 05 марта 2022 года</t>
  </si>
  <si>
    <t>Всероссийский мастерский турнир «Кубок Георгия Победоносца»
WEPF Жим лежа в многопетельной софт экипировке ДК
Ставрополь/Ставропольский край, 05 марта 2022 года</t>
  </si>
  <si>
    <t>Всероссийский мастерский турнир «Кубок Георгия Победоносца»
WEPF Жим лежа в многопетельной софт экипировке
Ставрополь/Ставропольский край, 05 марта 2022 года</t>
  </si>
  <si>
    <t>Всероссийский мастерский турнир «Кубок Георгия Победоносца»
WRPF Военный жим лежа с ДК
Ставрополь/Ставропольский край, 05 марта 2022 года</t>
  </si>
  <si>
    <t>Всероссийский мастерский турнир «Кубок Георгия Победоносца»
WEPF Жим лежа в однослойной экипировке
Ставрополь/Ставропольский край, 05 марта 2022 года</t>
  </si>
  <si>
    <t>Всероссийский мастерский турнир «Кубок Георгия Победоносца»
WEPF Жим лежа в однопетельной софт экипировке ДК
Ставрополь/Ставропольский край, 05 марта 2022 года</t>
  </si>
  <si>
    <t>Всероссийский мастерский турнир «Кубок Георгия Победоносца»
WRPF Жим лежа без экипировки ДК
Ставрополь/Ставропольский край, 05 марта 2022 года</t>
  </si>
  <si>
    <t>Всероссийский мастерский турнир «Кубок Георгия Победоносца»
WRPF Жим лежа без экипировки
Ставрополь/Ставропольский край, 05 марта 2022 года</t>
  </si>
  <si>
    <t>Всероссийский мастерский турнир «Кубок Георгия Победоносца»
WRPF Военный жим лежа
Ставрополь/Ставропольский край, 05 марта 2022 года</t>
  </si>
  <si>
    <t>Всероссийский мастерский турнир «Кубок Георгия Победоносца»
WEPF Жим лежа в однопетельной софт экипировке
Ставрополь/Ставропольский край, 05 марта 2022 года</t>
  </si>
  <si>
    <t>Всероссийский мастерский турнир «Кубок Георгия Победоносца»
WRPF Пауэрлифтинг без экипировки ДК
Ставрополь/Ставропольский край, 05 марта 2022 года</t>
  </si>
  <si>
    <t>Всероссийский мастерский турнир «Кубок Георгия Победоносца»
WRPF Пауэрлифтинг без экипировки
Ставрополь/Ставропольский край, 05 марта 2022 года</t>
  </si>
  <si>
    <t>Всероссийский мастерский турнир «Кубок Георгия Победоносца»
WRPF Пауэрлифтинг классический в бинтах ДК
Ставрополь/Ставропольский край, 05 марта 2022 года</t>
  </si>
  <si>
    <t>Всероссийский мастерский турнир «Кубок Георгия Победоносца»
WRPF Пауэрлифтинг классический в бинтах
Ставрополь/Ставропольский край, 05 марта 2022 года</t>
  </si>
  <si>
    <t>Юниоры 20-23 (22.11.2001)/20</t>
  </si>
  <si>
    <t>Юноши 13-19 (18.03.2005)/16</t>
  </si>
  <si>
    <t>Юноши 13-19 (20.02.2003)/19</t>
  </si>
  <si>
    <t>Юниорки 20-23 (05.02.2001)/21</t>
  </si>
  <si>
    <t>Юноши 13-19 (31.10.2003)/18</t>
  </si>
  <si>
    <t xml:space="preserve">Грозный/Республика Чечня </t>
  </si>
  <si>
    <t xml:space="preserve">Каспийск/Республика Дагестан </t>
  </si>
  <si>
    <t xml:space="preserve">Махачкала/Республика Дагестан </t>
  </si>
  <si>
    <t xml:space="preserve">Гудермес/Республика Чечня </t>
  </si>
  <si>
    <t xml:space="preserve">Майкоп/Республика Адыгея </t>
  </si>
  <si>
    <t xml:space="preserve">Владикавказ/Республика Северная Осетия-Алания </t>
  </si>
  <si>
    <t xml:space="preserve">Шеин В. </t>
  </si>
  <si>
    <t>Баксан/Республика Кабардино-Балкария</t>
  </si>
  <si>
    <t>Весовая категория</t>
  </si>
  <si>
    <t xml:space="preserve">Баксан/Республика Кабардино-Балкария </t>
  </si>
  <si>
    <t>Хасавюрт/Республика Дагестан</t>
  </si>
  <si>
    <t>№</t>
  </si>
  <si>
    <t>Жим</t>
  </si>
  <si>
    <t xml:space="preserve">
Дата рождения/Возраст</t>
  </si>
  <si>
    <t>Возрастная группа</t>
  </si>
  <si>
    <t>O</t>
  </si>
  <si>
    <t>T1</t>
  </si>
  <si>
    <t>T2</t>
  </si>
  <si>
    <t>J</t>
  </si>
  <si>
    <t>M1</t>
  </si>
  <si>
    <t>M4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</si>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</sst>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7AEE-7C61-4F16-B8C4-E620F20FC53A}">
  <dimension ref="A1:U64"/>
  <sheetViews>
    <sheetView workbookViewId="0">
      <selection activeCell="E49" sqref="E49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7.1640625" style="5" bestFit="1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29" bestFit="1" customWidth="1"/>
    <col min="20" max="20" width="8.33203125" style="6" bestFit="1" customWidth="1"/>
    <col min="21" max="21" width="18.1640625" style="5" customWidth="1"/>
    <col min="22" max="16384" width="9.1640625" style="3"/>
  </cols>
  <sheetData>
    <row r="1" spans="1:21" s="2" customFormat="1" ht="29" customHeight="1">
      <c r="A1" s="47" t="s">
        <v>437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33</v>
      </c>
      <c r="H3" s="59"/>
      <c r="I3" s="59"/>
      <c r="J3" s="59"/>
      <c r="K3" s="59" t="s">
        <v>34</v>
      </c>
      <c r="L3" s="59"/>
      <c r="M3" s="59"/>
      <c r="N3" s="59"/>
      <c r="O3" s="59" t="s">
        <v>35</v>
      </c>
      <c r="P3" s="59"/>
      <c r="Q3" s="59"/>
      <c r="R3" s="59"/>
      <c r="S3" s="62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58"/>
      <c r="U4" s="65"/>
    </row>
    <row r="5" spans="1:21" ht="16">
      <c r="A5" s="66" t="s">
        <v>36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8" t="s">
        <v>16</v>
      </c>
      <c r="B6" s="7" t="s">
        <v>188</v>
      </c>
      <c r="C6" s="7" t="s">
        <v>189</v>
      </c>
      <c r="D6" s="7" t="s">
        <v>190</v>
      </c>
      <c r="E6" s="7" t="s">
        <v>461</v>
      </c>
      <c r="F6" s="7" t="s">
        <v>125</v>
      </c>
      <c r="G6" s="14" t="s">
        <v>21</v>
      </c>
      <c r="H6" s="14" t="s">
        <v>135</v>
      </c>
      <c r="I6" s="14" t="s">
        <v>29</v>
      </c>
      <c r="J6" s="8"/>
      <c r="K6" s="14" t="s">
        <v>28</v>
      </c>
      <c r="L6" s="14" t="s">
        <v>126</v>
      </c>
      <c r="M6" s="14" t="s">
        <v>162</v>
      </c>
      <c r="N6" s="8"/>
      <c r="O6" s="14" t="s">
        <v>43</v>
      </c>
      <c r="P6" s="14" t="s">
        <v>31</v>
      </c>
      <c r="Q6" s="14" t="s">
        <v>191</v>
      </c>
      <c r="R6" s="8"/>
      <c r="S6" s="28" t="str">
        <f>"270,0"</f>
        <v>270,0</v>
      </c>
      <c r="T6" s="8" t="str">
        <f>"259,3080"</f>
        <v>259,3080</v>
      </c>
      <c r="U6" s="7" t="s">
        <v>192</v>
      </c>
    </row>
    <row r="7" spans="1:21">
      <c r="B7" s="5" t="s">
        <v>17</v>
      </c>
    </row>
    <row r="8" spans="1:21" ht="16">
      <c r="A8" s="60" t="s">
        <v>193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8" t="s">
        <v>98</v>
      </c>
      <c r="B9" s="7" t="s">
        <v>194</v>
      </c>
      <c r="C9" s="7" t="s">
        <v>195</v>
      </c>
      <c r="D9" s="7" t="s">
        <v>196</v>
      </c>
      <c r="E9" s="7" t="s">
        <v>462</v>
      </c>
      <c r="F9" s="7" t="s">
        <v>197</v>
      </c>
      <c r="G9" s="15" t="s">
        <v>30</v>
      </c>
      <c r="H9" s="15" t="s">
        <v>30</v>
      </c>
      <c r="I9" s="15" t="s">
        <v>30</v>
      </c>
      <c r="J9" s="8"/>
      <c r="K9" s="15"/>
      <c r="L9" s="8"/>
      <c r="M9" s="8"/>
      <c r="N9" s="8"/>
      <c r="O9" s="15"/>
      <c r="P9" s="8"/>
      <c r="Q9" s="8"/>
      <c r="R9" s="8"/>
      <c r="S9" s="28">
        <v>0</v>
      </c>
      <c r="T9" s="8" t="str">
        <f>"0,0000"</f>
        <v>0,0000</v>
      </c>
      <c r="U9" s="7" t="s">
        <v>199</v>
      </c>
    </row>
    <row r="10" spans="1:21">
      <c r="B10" s="5" t="s">
        <v>17</v>
      </c>
    </row>
    <row r="11" spans="1:21" ht="16">
      <c r="A11" s="60" t="s">
        <v>200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8" t="s">
        <v>16</v>
      </c>
      <c r="B12" s="7" t="s">
        <v>201</v>
      </c>
      <c r="C12" s="7" t="s">
        <v>202</v>
      </c>
      <c r="D12" s="7" t="s">
        <v>203</v>
      </c>
      <c r="E12" s="7" t="s">
        <v>462</v>
      </c>
      <c r="F12" s="7" t="s">
        <v>197</v>
      </c>
      <c r="G12" s="14" t="s">
        <v>135</v>
      </c>
      <c r="H12" s="14" t="s">
        <v>29</v>
      </c>
      <c r="I12" s="14" t="s">
        <v>128</v>
      </c>
      <c r="J12" s="8"/>
      <c r="K12" s="14" t="s">
        <v>163</v>
      </c>
      <c r="L12" s="15" t="s">
        <v>204</v>
      </c>
      <c r="M12" s="14" t="s">
        <v>204</v>
      </c>
      <c r="N12" s="8"/>
      <c r="O12" s="14" t="s">
        <v>23</v>
      </c>
      <c r="P12" s="15" t="s">
        <v>80</v>
      </c>
      <c r="Q12" s="14" t="s">
        <v>80</v>
      </c>
      <c r="R12" s="8"/>
      <c r="S12" s="28" t="str">
        <f>"300,0"</f>
        <v>300,0</v>
      </c>
      <c r="T12" s="8" t="str">
        <f>"282,1200"</f>
        <v>282,1200</v>
      </c>
      <c r="U12" s="7" t="s">
        <v>199</v>
      </c>
    </row>
    <row r="13" spans="1:21">
      <c r="B13" s="5" t="s">
        <v>17</v>
      </c>
    </row>
    <row r="14" spans="1:21" ht="16">
      <c r="A14" s="60" t="s">
        <v>205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21">
      <c r="A15" s="17" t="s">
        <v>16</v>
      </c>
      <c r="B15" s="16" t="s">
        <v>206</v>
      </c>
      <c r="C15" s="16" t="s">
        <v>207</v>
      </c>
      <c r="D15" s="16" t="s">
        <v>208</v>
      </c>
      <c r="E15" s="16" t="s">
        <v>462</v>
      </c>
      <c r="F15" s="16" t="s">
        <v>125</v>
      </c>
      <c r="G15" s="20" t="s">
        <v>21</v>
      </c>
      <c r="H15" s="20" t="s">
        <v>135</v>
      </c>
      <c r="I15" s="20" t="s">
        <v>29</v>
      </c>
      <c r="J15" s="17"/>
      <c r="K15" s="20" t="s">
        <v>209</v>
      </c>
      <c r="L15" s="20" t="s">
        <v>210</v>
      </c>
      <c r="M15" s="21" t="s">
        <v>21</v>
      </c>
      <c r="N15" s="17"/>
      <c r="O15" s="20" t="s">
        <v>23</v>
      </c>
      <c r="P15" s="20" t="s">
        <v>211</v>
      </c>
      <c r="Q15" s="20" t="s">
        <v>212</v>
      </c>
      <c r="R15" s="17"/>
      <c r="S15" s="30" t="str">
        <f>"300,0"</f>
        <v>300,0</v>
      </c>
      <c r="T15" s="17" t="str">
        <f>"264,0600"</f>
        <v>264,0600</v>
      </c>
      <c r="U15" s="16" t="s">
        <v>109</v>
      </c>
    </row>
    <row r="16" spans="1:21">
      <c r="A16" s="19" t="s">
        <v>99</v>
      </c>
      <c r="B16" s="18" t="s">
        <v>213</v>
      </c>
      <c r="C16" s="18" t="s">
        <v>214</v>
      </c>
      <c r="D16" s="18" t="s">
        <v>215</v>
      </c>
      <c r="E16" s="18" t="s">
        <v>462</v>
      </c>
      <c r="F16" s="18" t="s">
        <v>20</v>
      </c>
      <c r="G16" s="22" t="s">
        <v>21</v>
      </c>
      <c r="H16" s="23" t="s">
        <v>135</v>
      </c>
      <c r="I16" s="23" t="s">
        <v>29</v>
      </c>
      <c r="J16" s="19"/>
      <c r="K16" s="22" t="s">
        <v>127</v>
      </c>
      <c r="L16" s="23" t="s">
        <v>28</v>
      </c>
      <c r="M16" s="22" t="s">
        <v>28</v>
      </c>
      <c r="N16" s="19"/>
      <c r="O16" s="22" t="s">
        <v>43</v>
      </c>
      <c r="P16" s="22" t="s">
        <v>31</v>
      </c>
      <c r="Q16" s="22" t="s">
        <v>23</v>
      </c>
      <c r="R16" s="19"/>
      <c r="S16" s="31" t="str">
        <f>"250,0"</f>
        <v>250,0</v>
      </c>
      <c r="T16" s="19" t="str">
        <f>"218,6250"</f>
        <v>218,6250</v>
      </c>
      <c r="U16" s="18" t="s">
        <v>24</v>
      </c>
    </row>
    <row r="17" spans="1:21">
      <c r="B17" s="5" t="s">
        <v>17</v>
      </c>
    </row>
    <row r="18" spans="1:21" ht="16">
      <c r="A18" s="60" t="s">
        <v>121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8" t="s">
        <v>16</v>
      </c>
      <c r="B19" s="7" t="s">
        <v>216</v>
      </c>
      <c r="C19" s="7" t="s">
        <v>217</v>
      </c>
      <c r="D19" s="7" t="s">
        <v>141</v>
      </c>
      <c r="E19" s="7" t="s">
        <v>463</v>
      </c>
      <c r="F19" s="7" t="s">
        <v>197</v>
      </c>
      <c r="G19" s="15" t="s">
        <v>135</v>
      </c>
      <c r="H19" s="14" t="s">
        <v>135</v>
      </c>
      <c r="I19" s="14" t="s">
        <v>128</v>
      </c>
      <c r="J19" s="8"/>
      <c r="K19" s="14" t="s">
        <v>162</v>
      </c>
      <c r="L19" s="14" t="s">
        <v>163</v>
      </c>
      <c r="M19" s="15" t="s">
        <v>204</v>
      </c>
      <c r="N19" s="8"/>
      <c r="O19" s="14" t="s">
        <v>31</v>
      </c>
      <c r="P19" s="14" t="s">
        <v>23</v>
      </c>
      <c r="Q19" s="14" t="s">
        <v>80</v>
      </c>
      <c r="R19" s="8"/>
      <c r="S19" s="28" t="str">
        <f>"295,0"</f>
        <v>295,0</v>
      </c>
      <c r="T19" s="8" t="str">
        <f>"237,6815"</f>
        <v>237,6815</v>
      </c>
      <c r="U19" s="7" t="s">
        <v>199</v>
      </c>
    </row>
    <row r="20" spans="1:21">
      <c r="B20" s="5" t="s">
        <v>17</v>
      </c>
    </row>
    <row r="21" spans="1:21" ht="16">
      <c r="A21" s="60" t="s">
        <v>36</v>
      </c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21">
      <c r="A22" s="8" t="s">
        <v>16</v>
      </c>
      <c r="B22" s="7" t="s">
        <v>218</v>
      </c>
      <c r="C22" s="7" t="s">
        <v>219</v>
      </c>
      <c r="D22" s="7" t="s">
        <v>220</v>
      </c>
      <c r="E22" s="7" t="s">
        <v>462</v>
      </c>
      <c r="F22" s="7" t="s">
        <v>455</v>
      </c>
      <c r="G22" s="14" t="s">
        <v>43</v>
      </c>
      <c r="H22" s="14" t="s">
        <v>22</v>
      </c>
      <c r="I22" s="14" t="s">
        <v>31</v>
      </c>
      <c r="J22" s="8"/>
      <c r="K22" s="14" t="s">
        <v>163</v>
      </c>
      <c r="L22" s="14" t="s">
        <v>210</v>
      </c>
      <c r="M22" s="15" t="s">
        <v>221</v>
      </c>
      <c r="N22" s="8"/>
      <c r="O22" s="14" t="s">
        <v>23</v>
      </c>
      <c r="P22" s="14" t="s">
        <v>63</v>
      </c>
      <c r="Q22" s="14" t="s">
        <v>64</v>
      </c>
      <c r="R22" s="8"/>
      <c r="S22" s="28" t="str">
        <f>"332,5"</f>
        <v>332,5</v>
      </c>
      <c r="T22" s="8" t="str">
        <f>"238,7017"</f>
        <v>238,7017</v>
      </c>
      <c r="U22" s="7" t="s">
        <v>24</v>
      </c>
    </row>
    <row r="23" spans="1:21">
      <c r="B23" s="5" t="s">
        <v>17</v>
      </c>
    </row>
    <row r="24" spans="1:21" ht="16">
      <c r="A24" s="60" t="s">
        <v>45</v>
      </c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21">
      <c r="A25" s="17" t="s">
        <v>16</v>
      </c>
      <c r="B25" s="16" t="s">
        <v>222</v>
      </c>
      <c r="C25" s="16" t="s">
        <v>223</v>
      </c>
      <c r="D25" s="16" t="s">
        <v>224</v>
      </c>
      <c r="E25" s="16" t="s">
        <v>461</v>
      </c>
      <c r="F25" s="16" t="s">
        <v>125</v>
      </c>
      <c r="G25" s="20" t="s">
        <v>41</v>
      </c>
      <c r="H25" s="20" t="s">
        <v>225</v>
      </c>
      <c r="I25" s="20" t="s">
        <v>226</v>
      </c>
      <c r="J25" s="17"/>
      <c r="K25" s="20" t="s">
        <v>53</v>
      </c>
      <c r="L25" s="21" t="s">
        <v>134</v>
      </c>
      <c r="M25" s="21" t="s">
        <v>134</v>
      </c>
      <c r="N25" s="17"/>
      <c r="O25" s="20" t="s">
        <v>50</v>
      </c>
      <c r="P25" s="20" t="s">
        <v>52</v>
      </c>
      <c r="Q25" s="20" t="s">
        <v>54</v>
      </c>
      <c r="R25" s="17"/>
      <c r="S25" s="30" t="str">
        <f>"637,5"</f>
        <v>637,5</v>
      </c>
      <c r="T25" s="17" t="str">
        <f>"427,0613"</f>
        <v>427,0613</v>
      </c>
      <c r="U25" s="16" t="s">
        <v>227</v>
      </c>
    </row>
    <row r="26" spans="1:21">
      <c r="A26" s="19" t="s">
        <v>99</v>
      </c>
      <c r="B26" s="18" t="s">
        <v>228</v>
      </c>
      <c r="C26" s="18" t="s">
        <v>229</v>
      </c>
      <c r="D26" s="18" t="s">
        <v>230</v>
      </c>
      <c r="E26" s="18" t="s">
        <v>461</v>
      </c>
      <c r="F26" s="18" t="s">
        <v>125</v>
      </c>
      <c r="G26" s="22" t="s">
        <v>72</v>
      </c>
      <c r="H26" s="22" t="s">
        <v>64</v>
      </c>
      <c r="I26" s="22" t="s">
        <v>231</v>
      </c>
      <c r="J26" s="19"/>
      <c r="K26" s="22" t="s">
        <v>43</v>
      </c>
      <c r="L26" s="22" t="s">
        <v>22</v>
      </c>
      <c r="M26" s="22" t="s">
        <v>232</v>
      </c>
      <c r="N26" s="19"/>
      <c r="O26" s="22" t="s">
        <v>106</v>
      </c>
      <c r="P26" s="22" t="s">
        <v>154</v>
      </c>
      <c r="Q26" s="22" t="s">
        <v>44</v>
      </c>
      <c r="R26" s="19"/>
      <c r="S26" s="31" t="str">
        <f>"425,0"</f>
        <v>425,0</v>
      </c>
      <c r="T26" s="19" t="str">
        <f>"287,8950"</f>
        <v>287,8950</v>
      </c>
      <c r="U26" s="18" t="s">
        <v>233</v>
      </c>
    </row>
    <row r="27" spans="1:21">
      <c r="B27" s="5" t="s">
        <v>17</v>
      </c>
    </row>
    <row r="28" spans="1:21" ht="16">
      <c r="A28" s="60" t="s">
        <v>56</v>
      </c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21">
      <c r="A29" s="17" t="s">
        <v>16</v>
      </c>
      <c r="B29" s="16" t="s">
        <v>234</v>
      </c>
      <c r="C29" s="16" t="s">
        <v>235</v>
      </c>
      <c r="D29" s="16" t="s">
        <v>236</v>
      </c>
      <c r="E29" s="16" t="s">
        <v>463</v>
      </c>
      <c r="F29" s="16" t="s">
        <v>125</v>
      </c>
      <c r="G29" s="21" t="s">
        <v>237</v>
      </c>
      <c r="H29" s="21" t="s">
        <v>237</v>
      </c>
      <c r="I29" s="20" t="s">
        <v>237</v>
      </c>
      <c r="J29" s="17"/>
      <c r="K29" s="20" t="s">
        <v>23</v>
      </c>
      <c r="L29" s="20" t="s">
        <v>238</v>
      </c>
      <c r="M29" s="21" t="s">
        <v>80</v>
      </c>
      <c r="N29" s="17"/>
      <c r="O29" s="20" t="s">
        <v>81</v>
      </c>
      <c r="P29" s="20" t="s">
        <v>50</v>
      </c>
      <c r="Q29" s="20" t="s">
        <v>54</v>
      </c>
      <c r="R29" s="17"/>
      <c r="S29" s="30" t="str">
        <f>"585,0"</f>
        <v>585,0</v>
      </c>
      <c r="T29" s="17" t="str">
        <f>"377,8515"</f>
        <v>377,8515</v>
      </c>
      <c r="U29" s="16" t="s">
        <v>239</v>
      </c>
    </row>
    <row r="30" spans="1:21">
      <c r="A30" s="25" t="s">
        <v>16</v>
      </c>
      <c r="B30" s="24" t="s">
        <v>240</v>
      </c>
      <c r="C30" s="24" t="s">
        <v>241</v>
      </c>
      <c r="D30" s="24" t="s">
        <v>70</v>
      </c>
      <c r="E30" s="24" t="s">
        <v>461</v>
      </c>
      <c r="F30" s="24" t="s">
        <v>125</v>
      </c>
      <c r="G30" s="26" t="s">
        <v>41</v>
      </c>
      <c r="H30" s="26" t="s">
        <v>42</v>
      </c>
      <c r="I30" s="27" t="s">
        <v>226</v>
      </c>
      <c r="J30" s="25"/>
      <c r="K30" s="26" t="s">
        <v>64</v>
      </c>
      <c r="L30" s="26" t="s">
        <v>143</v>
      </c>
      <c r="M30" s="27" t="s">
        <v>53</v>
      </c>
      <c r="N30" s="25"/>
      <c r="O30" s="26" t="s">
        <v>242</v>
      </c>
      <c r="P30" s="26" t="s">
        <v>177</v>
      </c>
      <c r="Q30" s="27" t="s">
        <v>243</v>
      </c>
      <c r="R30" s="25"/>
      <c r="S30" s="46" t="str">
        <f>"607,5"</f>
        <v>607,5</v>
      </c>
      <c r="T30" s="25" t="str">
        <f>"390,0757"</f>
        <v>390,0757</v>
      </c>
      <c r="U30" s="24" t="s">
        <v>244</v>
      </c>
    </row>
    <row r="31" spans="1:21">
      <c r="A31" s="19" t="s">
        <v>99</v>
      </c>
      <c r="B31" s="18" t="s">
        <v>245</v>
      </c>
      <c r="C31" s="18" t="s">
        <v>246</v>
      </c>
      <c r="D31" s="18" t="s">
        <v>59</v>
      </c>
      <c r="E31" s="18" t="s">
        <v>461</v>
      </c>
      <c r="F31" s="18" t="s">
        <v>449</v>
      </c>
      <c r="G31" s="23" t="s">
        <v>247</v>
      </c>
      <c r="H31" s="22" t="s">
        <v>247</v>
      </c>
      <c r="I31" s="23" t="s">
        <v>237</v>
      </c>
      <c r="J31" s="19"/>
      <c r="K31" s="22" t="s">
        <v>72</v>
      </c>
      <c r="L31" s="22" t="s">
        <v>143</v>
      </c>
      <c r="M31" s="23" t="s">
        <v>248</v>
      </c>
      <c r="N31" s="19"/>
      <c r="O31" s="22" t="s">
        <v>164</v>
      </c>
      <c r="P31" s="23" t="s">
        <v>247</v>
      </c>
      <c r="Q31" s="22" t="s">
        <v>41</v>
      </c>
      <c r="R31" s="19"/>
      <c r="S31" s="31" t="str">
        <f>"540,0"</f>
        <v>540,0</v>
      </c>
      <c r="T31" s="19" t="str">
        <f>"344,7360"</f>
        <v>344,7360</v>
      </c>
      <c r="U31" s="18" t="s">
        <v>102</v>
      </c>
    </row>
    <row r="32" spans="1:21">
      <c r="B32" s="5" t="s">
        <v>17</v>
      </c>
    </row>
    <row r="33" spans="1:21" ht="16">
      <c r="A33" s="60" t="s">
        <v>25</v>
      </c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21">
      <c r="A34" s="17" t="s">
        <v>16</v>
      </c>
      <c r="B34" s="16" t="s">
        <v>249</v>
      </c>
      <c r="C34" s="16" t="s">
        <v>250</v>
      </c>
      <c r="D34" s="16" t="s">
        <v>251</v>
      </c>
      <c r="E34" s="16" t="s">
        <v>462</v>
      </c>
      <c r="F34" s="16" t="s">
        <v>197</v>
      </c>
      <c r="G34" s="20" t="s">
        <v>163</v>
      </c>
      <c r="H34" s="20" t="s">
        <v>21</v>
      </c>
      <c r="I34" s="20" t="s">
        <v>29</v>
      </c>
      <c r="J34" s="17"/>
      <c r="K34" s="20" t="s">
        <v>28</v>
      </c>
      <c r="L34" s="20" t="s">
        <v>198</v>
      </c>
      <c r="M34" s="21" t="s">
        <v>126</v>
      </c>
      <c r="N34" s="17"/>
      <c r="O34" s="20" t="s">
        <v>29</v>
      </c>
      <c r="P34" s="20" t="s">
        <v>43</v>
      </c>
      <c r="Q34" s="20" t="s">
        <v>23</v>
      </c>
      <c r="R34" s="17"/>
      <c r="S34" s="30" t="str">
        <f>"265,0"</f>
        <v>265,0</v>
      </c>
      <c r="T34" s="17" t="str">
        <f>"167,4270"</f>
        <v>167,4270</v>
      </c>
      <c r="U34" s="16" t="s">
        <v>199</v>
      </c>
    </row>
    <row r="35" spans="1:21">
      <c r="A35" s="25" t="s">
        <v>16</v>
      </c>
      <c r="B35" s="24" t="s">
        <v>252</v>
      </c>
      <c r="C35" s="24" t="s">
        <v>253</v>
      </c>
      <c r="D35" s="24" t="s">
        <v>254</v>
      </c>
      <c r="E35" s="24" t="s">
        <v>464</v>
      </c>
      <c r="F35" s="24" t="s">
        <v>255</v>
      </c>
      <c r="G35" s="26" t="s">
        <v>74</v>
      </c>
      <c r="H35" s="26" t="s">
        <v>81</v>
      </c>
      <c r="I35" s="27" t="s">
        <v>50</v>
      </c>
      <c r="J35" s="25"/>
      <c r="K35" s="26" t="s">
        <v>134</v>
      </c>
      <c r="L35" s="27" t="s">
        <v>107</v>
      </c>
      <c r="M35" s="26" t="s">
        <v>107</v>
      </c>
      <c r="N35" s="25"/>
      <c r="O35" s="27" t="s">
        <v>81</v>
      </c>
      <c r="P35" s="27" t="s">
        <v>50</v>
      </c>
      <c r="Q35" s="26" t="s">
        <v>50</v>
      </c>
      <c r="R35" s="25"/>
      <c r="S35" s="46" t="str">
        <f>"655,0"</f>
        <v>655,0</v>
      </c>
      <c r="T35" s="25" t="str">
        <f>"399,2880"</f>
        <v>399,2880</v>
      </c>
      <c r="U35" s="24"/>
    </row>
    <row r="36" spans="1:21">
      <c r="A36" s="25" t="s">
        <v>16</v>
      </c>
      <c r="B36" s="24" t="s">
        <v>252</v>
      </c>
      <c r="C36" s="24" t="s">
        <v>256</v>
      </c>
      <c r="D36" s="24" t="s">
        <v>254</v>
      </c>
      <c r="E36" s="24" t="s">
        <v>461</v>
      </c>
      <c r="F36" s="24" t="s">
        <v>255</v>
      </c>
      <c r="G36" s="26" t="s">
        <v>74</v>
      </c>
      <c r="H36" s="26" t="s">
        <v>81</v>
      </c>
      <c r="I36" s="27" t="s">
        <v>50</v>
      </c>
      <c r="J36" s="25"/>
      <c r="K36" s="26" t="s">
        <v>134</v>
      </c>
      <c r="L36" s="27" t="s">
        <v>107</v>
      </c>
      <c r="M36" s="26" t="s">
        <v>107</v>
      </c>
      <c r="N36" s="25"/>
      <c r="O36" s="27" t="s">
        <v>81</v>
      </c>
      <c r="P36" s="27" t="s">
        <v>50</v>
      </c>
      <c r="Q36" s="26" t="s">
        <v>50</v>
      </c>
      <c r="R36" s="25"/>
      <c r="S36" s="46" t="str">
        <f>"655,0"</f>
        <v>655,0</v>
      </c>
      <c r="T36" s="25" t="str">
        <f>"399,2880"</f>
        <v>399,2880</v>
      </c>
      <c r="U36" s="24"/>
    </row>
    <row r="37" spans="1:21">
      <c r="A37" s="19" t="s">
        <v>99</v>
      </c>
      <c r="B37" s="18" t="s">
        <v>257</v>
      </c>
      <c r="C37" s="18" t="s">
        <v>258</v>
      </c>
      <c r="D37" s="18" t="s">
        <v>254</v>
      </c>
      <c r="E37" s="18" t="s">
        <v>461</v>
      </c>
      <c r="F37" s="18" t="s">
        <v>125</v>
      </c>
      <c r="G37" s="22" t="s">
        <v>237</v>
      </c>
      <c r="H37" s="22" t="s">
        <v>158</v>
      </c>
      <c r="I37" s="22" t="s">
        <v>71</v>
      </c>
      <c r="J37" s="19"/>
      <c r="K37" s="22" t="s">
        <v>134</v>
      </c>
      <c r="L37" s="22" t="s">
        <v>148</v>
      </c>
      <c r="M37" s="22" t="s">
        <v>118</v>
      </c>
      <c r="N37" s="19"/>
      <c r="O37" s="22" t="s">
        <v>61</v>
      </c>
      <c r="P37" s="22" t="s">
        <v>259</v>
      </c>
      <c r="Q37" s="22" t="s">
        <v>50</v>
      </c>
      <c r="R37" s="19"/>
      <c r="S37" s="31" t="str">
        <f>"642,5"</f>
        <v>642,5</v>
      </c>
      <c r="T37" s="19" t="str">
        <f>"391,6680"</f>
        <v>391,6680</v>
      </c>
      <c r="U37" s="18" t="s">
        <v>260</v>
      </c>
    </row>
    <row r="38" spans="1:21">
      <c r="B38" s="5" t="s">
        <v>17</v>
      </c>
    </row>
    <row r="39" spans="1:21" ht="16">
      <c r="A39" s="60" t="s">
        <v>111</v>
      </c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21">
      <c r="A40" s="17" t="s">
        <v>16</v>
      </c>
      <c r="B40" s="16" t="s">
        <v>261</v>
      </c>
      <c r="C40" s="16" t="s">
        <v>262</v>
      </c>
      <c r="D40" s="16" t="s">
        <v>167</v>
      </c>
      <c r="E40" s="16" t="s">
        <v>461</v>
      </c>
      <c r="F40" s="16" t="s">
        <v>449</v>
      </c>
      <c r="G40" s="20" t="s">
        <v>42</v>
      </c>
      <c r="H40" s="21" t="s">
        <v>61</v>
      </c>
      <c r="I40" s="20" t="s">
        <v>61</v>
      </c>
      <c r="J40" s="17"/>
      <c r="K40" s="20" t="s">
        <v>44</v>
      </c>
      <c r="L40" s="20" t="s">
        <v>144</v>
      </c>
      <c r="M40" s="20" t="s">
        <v>164</v>
      </c>
      <c r="N40" s="17"/>
      <c r="O40" s="20" t="s">
        <v>81</v>
      </c>
      <c r="P40" s="21" t="s">
        <v>50</v>
      </c>
      <c r="Q40" s="20" t="s">
        <v>50</v>
      </c>
      <c r="R40" s="17"/>
      <c r="S40" s="30" t="str">
        <f>"650,0"</f>
        <v>650,0</v>
      </c>
      <c r="T40" s="17" t="str">
        <f>"382,5250"</f>
        <v>382,5250</v>
      </c>
      <c r="U40" s="16" t="s">
        <v>102</v>
      </c>
    </row>
    <row r="41" spans="1:21">
      <c r="A41" s="25" t="s">
        <v>99</v>
      </c>
      <c r="B41" s="24" t="s">
        <v>112</v>
      </c>
      <c r="C41" s="24" t="s">
        <v>113</v>
      </c>
      <c r="D41" s="24" t="s">
        <v>114</v>
      </c>
      <c r="E41" s="24" t="s">
        <v>461</v>
      </c>
      <c r="F41" s="24" t="s">
        <v>448</v>
      </c>
      <c r="G41" s="26" t="s">
        <v>61</v>
      </c>
      <c r="H41" s="26" t="s">
        <v>74</v>
      </c>
      <c r="I41" s="27" t="s">
        <v>81</v>
      </c>
      <c r="J41" s="25"/>
      <c r="K41" s="26" t="s">
        <v>106</v>
      </c>
      <c r="L41" s="26" t="s">
        <v>44</v>
      </c>
      <c r="M41" s="27" t="s">
        <v>144</v>
      </c>
      <c r="N41" s="25"/>
      <c r="O41" s="26" t="s">
        <v>42</v>
      </c>
      <c r="P41" s="26" t="s">
        <v>61</v>
      </c>
      <c r="Q41" s="25"/>
      <c r="R41" s="25"/>
      <c r="S41" s="46" t="str">
        <f>"620,0"</f>
        <v>620,0</v>
      </c>
      <c r="T41" s="25" t="str">
        <f>"366,9780"</f>
        <v>366,9780</v>
      </c>
      <c r="U41" s="24"/>
    </row>
    <row r="42" spans="1:21">
      <c r="A42" s="19" t="s">
        <v>16</v>
      </c>
      <c r="B42" s="18" t="s">
        <v>112</v>
      </c>
      <c r="C42" s="18" t="s">
        <v>263</v>
      </c>
      <c r="D42" s="18" t="s">
        <v>114</v>
      </c>
      <c r="E42" s="18" t="s">
        <v>465</v>
      </c>
      <c r="F42" s="18" t="s">
        <v>448</v>
      </c>
      <c r="G42" s="22" t="s">
        <v>61</v>
      </c>
      <c r="H42" s="22" t="s">
        <v>74</v>
      </c>
      <c r="I42" s="23" t="s">
        <v>81</v>
      </c>
      <c r="J42" s="19"/>
      <c r="K42" s="22" t="s">
        <v>106</v>
      </c>
      <c r="L42" s="22" t="s">
        <v>44</v>
      </c>
      <c r="M42" s="23" t="s">
        <v>144</v>
      </c>
      <c r="N42" s="19"/>
      <c r="O42" s="22" t="s">
        <v>42</v>
      </c>
      <c r="P42" s="22" t="s">
        <v>61</v>
      </c>
      <c r="Q42" s="19"/>
      <c r="R42" s="19"/>
      <c r="S42" s="31" t="str">
        <f>"620,0"</f>
        <v>620,0</v>
      </c>
      <c r="T42" s="19" t="str">
        <f>"395,6023"</f>
        <v>395,6023</v>
      </c>
      <c r="U42" s="18"/>
    </row>
    <row r="43" spans="1:21">
      <c r="B43" s="5" t="s">
        <v>17</v>
      </c>
    </row>
    <row r="44" spans="1:21" ht="16">
      <c r="A44" s="60" t="s">
        <v>83</v>
      </c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21">
      <c r="A45" s="8" t="s">
        <v>16</v>
      </c>
      <c r="B45" s="7" t="s">
        <v>264</v>
      </c>
      <c r="C45" s="7" t="s">
        <v>265</v>
      </c>
      <c r="D45" s="7" t="s">
        <v>266</v>
      </c>
      <c r="E45" s="7" t="s">
        <v>461</v>
      </c>
      <c r="F45" s="7" t="s">
        <v>453</v>
      </c>
      <c r="G45" s="15" t="s">
        <v>23</v>
      </c>
      <c r="H45" s="14" t="s">
        <v>72</v>
      </c>
      <c r="I45" s="14" t="s">
        <v>143</v>
      </c>
      <c r="J45" s="8"/>
      <c r="K45" s="14" t="s">
        <v>31</v>
      </c>
      <c r="L45" s="14" t="s">
        <v>23</v>
      </c>
      <c r="M45" s="15" t="s">
        <v>238</v>
      </c>
      <c r="N45" s="8"/>
      <c r="O45" s="14" t="s">
        <v>44</v>
      </c>
      <c r="P45" s="14" t="s">
        <v>247</v>
      </c>
      <c r="Q45" s="15" t="s">
        <v>41</v>
      </c>
      <c r="R45" s="8"/>
      <c r="S45" s="28" t="str">
        <f>"460,0"</f>
        <v>460,0</v>
      </c>
      <c r="T45" s="8" t="str">
        <f>"268,9160"</f>
        <v>268,9160</v>
      </c>
      <c r="U45" s="7" t="s">
        <v>24</v>
      </c>
    </row>
    <row r="46" spans="1:21">
      <c r="B46" s="5" t="s">
        <v>17</v>
      </c>
    </row>
    <row r="47" spans="1:21" ht="16">
      <c r="A47" s="60" t="s">
        <v>267</v>
      </c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21">
      <c r="A48" s="8" t="s">
        <v>16</v>
      </c>
      <c r="B48" s="7" t="s">
        <v>268</v>
      </c>
      <c r="C48" s="7" t="s">
        <v>269</v>
      </c>
      <c r="D48" s="7" t="s">
        <v>270</v>
      </c>
      <c r="E48" s="7" t="s">
        <v>461</v>
      </c>
      <c r="F48" s="7" t="s">
        <v>271</v>
      </c>
      <c r="G48" s="15" t="s">
        <v>61</v>
      </c>
      <c r="H48" s="15" t="s">
        <v>74</v>
      </c>
      <c r="I48" s="14" t="s">
        <v>81</v>
      </c>
      <c r="J48" s="8"/>
      <c r="K48" s="14" t="s">
        <v>72</v>
      </c>
      <c r="L48" s="14" t="s">
        <v>143</v>
      </c>
      <c r="M48" s="14" t="s">
        <v>106</v>
      </c>
      <c r="N48" s="8"/>
      <c r="O48" s="14" t="s">
        <v>81</v>
      </c>
      <c r="P48" s="14" t="s">
        <v>52</v>
      </c>
      <c r="Q48" s="14" t="s">
        <v>108</v>
      </c>
      <c r="R48" s="8"/>
      <c r="S48" s="28" t="str">
        <f>"675,0"</f>
        <v>675,0</v>
      </c>
      <c r="T48" s="8" t="str">
        <f>"377,3925"</f>
        <v>377,3925</v>
      </c>
      <c r="U48" s="7" t="s">
        <v>199</v>
      </c>
    </row>
    <row r="49" spans="2:6">
      <c r="B49" s="5" t="s">
        <v>17</v>
      </c>
    </row>
    <row r="50" spans="2:6">
      <c r="B50" s="5" t="s">
        <v>17</v>
      </c>
    </row>
    <row r="51" spans="2:6">
      <c r="B51" s="5" t="s">
        <v>17</v>
      </c>
    </row>
    <row r="52" spans="2:6" ht="18">
      <c r="B52" s="9" t="s">
        <v>9</v>
      </c>
      <c r="C52" s="9"/>
    </row>
    <row r="53" spans="2:6" ht="16">
      <c r="B53" s="10" t="s">
        <v>10</v>
      </c>
      <c r="C53" s="10"/>
    </row>
    <row r="54" spans="2:6" ht="14">
      <c r="B54" s="11"/>
      <c r="C54" s="12" t="s">
        <v>91</v>
      </c>
    </row>
    <row r="55" spans="2:6" ht="14">
      <c r="B55" s="13" t="s">
        <v>11</v>
      </c>
      <c r="C55" s="13" t="s">
        <v>12</v>
      </c>
      <c r="D55" s="13" t="s">
        <v>454</v>
      </c>
      <c r="E55" s="13" t="s">
        <v>13</v>
      </c>
      <c r="F55" s="13" t="s">
        <v>92</v>
      </c>
    </row>
    <row r="56" spans="2:6">
      <c r="B56" s="5" t="s">
        <v>234</v>
      </c>
      <c r="C56" s="5" t="s">
        <v>93</v>
      </c>
      <c r="D56" s="6" t="s">
        <v>97</v>
      </c>
      <c r="E56" s="6" t="s">
        <v>272</v>
      </c>
      <c r="F56" s="6" t="s">
        <v>273</v>
      </c>
    </row>
    <row r="57" spans="2:6">
      <c r="B57" s="5" t="s">
        <v>201</v>
      </c>
      <c r="C57" s="5" t="s">
        <v>274</v>
      </c>
      <c r="D57" s="6" t="s">
        <v>275</v>
      </c>
      <c r="E57" s="6" t="s">
        <v>168</v>
      </c>
      <c r="F57" s="6" t="s">
        <v>276</v>
      </c>
    </row>
    <row r="58" spans="2:6">
      <c r="B58" s="5" t="s">
        <v>206</v>
      </c>
      <c r="C58" s="5" t="s">
        <v>274</v>
      </c>
      <c r="D58" s="6" t="s">
        <v>277</v>
      </c>
      <c r="E58" s="6" t="s">
        <v>168</v>
      </c>
      <c r="F58" s="6" t="s">
        <v>278</v>
      </c>
    </row>
    <row r="60" spans="2:6" ht="14">
      <c r="B60" s="11"/>
      <c r="C60" s="12" t="s">
        <v>95</v>
      </c>
    </row>
    <row r="61" spans="2:6" ht="14">
      <c r="B61" s="13" t="s">
        <v>11</v>
      </c>
      <c r="C61" s="13" t="s">
        <v>12</v>
      </c>
      <c r="D61" s="13" t="s">
        <v>454</v>
      </c>
      <c r="E61" s="13" t="s">
        <v>13</v>
      </c>
      <c r="F61" s="13" t="s">
        <v>92</v>
      </c>
    </row>
    <row r="62" spans="2:6">
      <c r="B62" s="5" t="s">
        <v>222</v>
      </c>
      <c r="C62" s="5" t="s">
        <v>95</v>
      </c>
      <c r="D62" s="6" t="s">
        <v>281</v>
      </c>
      <c r="E62" s="6" t="s">
        <v>282</v>
      </c>
      <c r="F62" s="6" t="s">
        <v>283</v>
      </c>
    </row>
    <row r="63" spans="2:6">
      <c r="B63" s="5" t="s">
        <v>252</v>
      </c>
      <c r="C63" s="5" t="s">
        <v>95</v>
      </c>
      <c r="D63" s="6" t="s">
        <v>32</v>
      </c>
      <c r="E63" s="6" t="s">
        <v>279</v>
      </c>
      <c r="F63" s="6" t="s">
        <v>280</v>
      </c>
    </row>
    <row r="64" spans="2:6">
      <c r="B64" s="5" t="s">
        <v>257</v>
      </c>
      <c r="C64" s="5" t="s">
        <v>95</v>
      </c>
      <c r="D64" s="6" t="s">
        <v>32</v>
      </c>
      <c r="E64" s="6" t="s">
        <v>284</v>
      </c>
      <c r="F64" s="6" t="s">
        <v>285</v>
      </c>
    </row>
  </sheetData>
  <mergeCells count="25">
    <mergeCell ref="A28:R28"/>
    <mergeCell ref="A33:R33"/>
    <mergeCell ref="A39:R39"/>
    <mergeCell ref="A44:R44"/>
    <mergeCell ref="A47:R47"/>
    <mergeCell ref="A21:R21"/>
    <mergeCell ref="A24:R24"/>
    <mergeCell ref="S3:S4"/>
    <mergeCell ref="T3:T4"/>
    <mergeCell ref="U3:U4"/>
    <mergeCell ref="A5:R5"/>
    <mergeCell ref="B3:B4"/>
    <mergeCell ref="A8:R8"/>
    <mergeCell ref="A11:R11"/>
    <mergeCell ref="A14:R14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77B5-38C4-4B4D-B731-FCF649E7DCF5}">
  <dimension ref="A1:M12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1.1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47" t="s">
        <v>432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25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365</v>
      </c>
      <c r="C6" s="7" t="s">
        <v>366</v>
      </c>
      <c r="D6" s="7" t="s">
        <v>367</v>
      </c>
      <c r="E6" s="7" t="s">
        <v>465</v>
      </c>
      <c r="F6" s="7" t="s">
        <v>125</v>
      </c>
      <c r="G6" s="14" t="s">
        <v>164</v>
      </c>
      <c r="H6" s="15" t="s">
        <v>247</v>
      </c>
      <c r="I6" s="8"/>
      <c r="J6" s="8"/>
      <c r="K6" s="8" t="str">
        <f>"180,0"</f>
        <v>180,0</v>
      </c>
      <c r="L6" s="8" t="str">
        <f>"105,6870"</f>
        <v>105,6870</v>
      </c>
      <c r="M6" s="7" t="s">
        <v>368</v>
      </c>
    </row>
    <row r="7" spans="1:13">
      <c r="B7" s="5" t="s">
        <v>17</v>
      </c>
    </row>
    <row r="8" spans="1:13" ht="16">
      <c r="A8" s="60" t="s">
        <v>111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16</v>
      </c>
      <c r="B9" s="16" t="s">
        <v>112</v>
      </c>
      <c r="C9" s="16" t="s">
        <v>113</v>
      </c>
      <c r="D9" s="16" t="s">
        <v>114</v>
      </c>
      <c r="E9" s="16" t="s">
        <v>461</v>
      </c>
      <c r="F9" s="16" t="s">
        <v>448</v>
      </c>
      <c r="G9" s="20" t="s">
        <v>81</v>
      </c>
      <c r="H9" s="20" t="s">
        <v>52</v>
      </c>
      <c r="I9" s="21" t="s">
        <v>87</v>
      </c>
      <c r="J9" s="17"/>
      <c r="K9" s="17" t="str">
        <f>"260,0"</f>
        <v>260,0</v>
      </c>
      <c r="L9" s="17" t="str">
        <f>"147,0300"</f>
        <v>147,0300</v>
      </c>
      <c r="M9" s="16"/>
    </row>
    <row r="10" spans="1:13">
      <c r="A10" s="19" t="s">
        <v>16</v>
      </c>
      <c r="B10" s="18" t="s">
        <v>112</v>
      </c>
      <c r="C10" s="18" t="s">
        <v>263</v>
      </c>
      <c r="D10" s="18" t="s">
        <v>114</v>
      </c>
      <c r="E10" s="18" t="s">
        <v>465</v>
      </c>
      <c r="F10" s="18" t="s">
        <v>448</v>
      </c>
      <c r="G10" s="22" t="s">
        <v>81</v>
      </c>
      <c r="H10" s="22" t="s">
        <v>52</v>
      </c>
      <c r="I10" s="23" t="s">
        <v>87</v>
      </c>
      <c r="J10" s="19"/>
      <c r="K10" s="19" t="str">
        <f>"260,0"</f>
        <v>260,0</v>
      </c>
      <c r="L10" s="19" t="str">
        <f>"157,0280"</f>
        <v>157,0280</v>
      </c>
      <c r="M10" s="18"/>
    </row>
    <row r="11" spans="1:13">
      <c r="B11" s="5" t="s">
        <v>17</v>
      </c>
    </row>
    <row r="12" spans="1:13">
      <c r="B12" s="5" t="s">
        <v>17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9CAD-6C07-4329-A283-7AC3E1866E0F}">
  <dimension ref="A1:M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7.6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6.83203125" style="5" customWidth="1"/>
    <col min="14" max="16384" width="9.1640625" style="3"/>
  </cols>
  <sheetData>
    <row r="1" spans="1:13" s="2" customFormat="1" ht="29" customHeight="1">
      <c r="A1" s="47" t="s">
        <v>436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111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7" t="s">
        <v>16</v>
      </c>
      <c r="B6" s="16" t="s">
        <v>112</v>
      </c>
      <c r="C6" s="16" t="s">
        <v>113</v>
      </c>
      <c r="D6" s="16" t="s">
        <v>114</v>
      </c>
      <c r="E6" s="16" t="s">
        <v>461</v>
      </c>
      <c r="F6" s="16" t="s">
        <v>448</v>
      </c>
      <c r="G6" s="20" t="s">
        <v>81</v>
      </c>
      <c r="H6" s="20" t="s">
        <v>52</v>
      </c>
      <c r="I6" s="21" t="s">
        <v>87</v>
      </c>
      <c r="J6" s="17"/>
      <c r="K6" s="17" t="str">
        <f>"260,0"</f>
        <v>260,0</v>
      </c>
      <c r="L6" s="17" t="str">
        <f>"147,0300"</f>
        <v>147,0300</v>
      </c>
      <c r="M6" s="16"/>
    </row>
    <row r="7" spans="1:13">
      <c r="A7" s="19" t="s">
        <v>16</v>
      </c>
      <c r="B7" s="18" t="s">
        <v>112</v>
      </c>
      <c r="C7" s="18" t="s">
        <v>263</v>
      </c>
      <c r="D7" s="18" t="s">
        <v>114</v>
      </c>
      <c r="E7" s="18" t="s">
        <v>465</v>
      </c>
      <c r="F7" s="18" t="s">
        <v>448</v>
      </c>
      <c r="G7" s="22" t="s">
        <v>81</v>
      </c>
      <c r="H7" s="22" t="s">
        <v>52</v>
      </c>
      <c r="I7" s="23" t="s">
        <v>87</v>
      </c>
      <c r="J7" s="19"/>
      <c r="K7" s="19" t="str">
        <f>"260,0"</f>
        <v>260,0</v>
      </c>
      <c r="L7" s="19" t="str">
        <f>"157,0280"</f>
        <v>157,0280</v>
      </c>
      <c r="M7" s="18"/>
    </row>
    <row r="8" spans="1:13">
      <c r="B8" s="5" t="s">
        <v>17</v>
      </c>
    </row>
    <row r="9" spans="1:13">
      <c r="B9" s="5" t="s">
        <v>17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32BD-B2BD-40EC-87FC-6FAD91D8F13E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7.6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7" t="s">
        <v>428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111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7" t="s">
        <v>16</v>
      </c>
      <c r="B6" s="16" t="s">
        <v>112</v>
      </c>
      <c r="C6" s="16" t="s">
        <v>113</v>
      </c>
      <c r="D6" s="16" t="s">
        <v>114</v>
      </c>
      <c r="E6" s="16" t="s">
        <v>461</v>
      </c>
      <c r="F6" s="16" t="s">
        <v>448</v>
      </c>
      <c r="G6" s="20" t="s">
        <v>178</v>
      </c>
      <c r="H6" s="20" t="s">
        <v>168</v>
      </c>
      <c r="I6" s="21" t="s">
        <v>169</v>
      </c>
      <c r="J6" s="17"/>
      <c r="K6" s="17" t="str">
        <f>"300,0"</f>
        <v>300,0</v>
      </c>
      <c r="L6" s="17" t="str">
        <f>"169,6500"</f>
        <v>169,6500</v>
      </c>
      <c r="M6" s="16"/>
    </row>
    <row r="7" spans="1:13">
      <c r="A7" s="19" t="s">
        <v>16</v>
      </c>
      <c r="B7" s="18" t="s">
        <v>112</v>
      </c>
      <c r="C7" s="18" t="s">
        <v>263</v>
      </c>
      <c r="D7" s="18" t="s">
        <v>114</v>
      </c>
      <c r="E7" s="18" t="s">
        <v>465</v>
      </c>
      <c r="F7" s="18" t="s">
        <v>448</v>
      </c>
      <c r="G7" s="22" t="s">
        <v>178</v>
      </c>
      <c r="H7" s="22" t="s">
        <v>168</v>
      </c>
      <c r="I7" s="23" t="s">
        <v>169</v>
      </c>
      <c r="J7" s="19"/>
      <c r="K7" s="19" t="str">
        <f>"300,0"</f>
        <v>300,0</v>
      </c>
      <c r="L7" s="19" t="str">
        <f>"181,1862"</f>
        <v>181,1862</v>
      </c>
      <c r="M7" s="18"/>
    </row>
    <row r="8" spans="1:13">
      <c r="B8" s="5" t="s">
        <v>17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9835-7EB6-4F7D-BC94-F26BBAB9EA5A}">
  <dimension ref="A1:M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7.6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7" t="s">
        <v>429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111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7" t="s">
        <v>16</v>
      </c>
      <c r="B6" s="16" t="s">
        <v>112</v>
      </c>
      <c r="C6" s="16" t="s">
        <v>113</v>
      </c>
      <c r="D6" s="16" t="s">
        <v>114</v>
      </c>
      <c r="E6" s="16" t="s">
        <v>461</v>
      </c>
      <c r="F6" s="16" t="s">
        <v>448</v>
      </c>
      <c r="G6" s="20" t="s">
        <v>178</v>
      </c>
      <c r="H6" s="20" t="s">
        <v>168</v>
      </c>
      <c r="I6" s="21" t="s">
        <v>169</v>
      </c>
      <c r="J6" s="17"/>
      <c r="K6" s="17" t="str">
        <f>"300,0"</f>
        <v>300,0</v>
      </c>
      <c r="L6" s="17" t="str">
        <f>"169,6500"</f>
        <v>169,6500</v>
      </c>
      <c r="M6" s="16"/>
    </row>
    <row r="7" spans="1:13">
      <c r="A7" s="19" t="s">
        <v>16</v>
      </c>
      <c r="B7" s="18" t="s">
        <v>112</v>
      </c>
      <c r="C7" s="18" t="s">
        <v>263</v>
      </c>
      <c r="D7" s="18" t="s">
        <v>114</v>
      </c>
      <c r="E7" s="18" t="s">
        <v>465</v>
      </c>
      <c r="F7" s="18" t="s">
        <v>448</v>
      </c>
      <c r="G7" s="22" t="s">
        <v>178</v>
      </c>
      <c r="H7" s="22" t="s">
        <v>168</v>
      </c>
      <c r="I7" s="23" t="s">
        <v>169</v>
      </c>
      <c r="J7" s="19"/>
      <c r="K7" s="19" t="str">
        <f>"300,0"</f>
        <v>300,0</v>
      </c>
      <c r="L7" s="19" t="str">
        <f>"181,1862"</f>
        <v>181,1862</v>
      </c>
      <c r="M7" s="18"/>
    </row>
    <row r="8" spans="1:13">
      <c r="B8" s="5" t="s">
        <v>17</v>
      </c>
    </row>
    <row r="9" spans="1:13">
      <c r="B9" s="5" t="s">
        <v>17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91A9-088B-460A-9A4A-1AA1DFAF716B}">
  <dimension ref="A1:M19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1.1640625" style="5" bestFit="1" customWidth="1"/>
    <col min="7" max="9" width="5.33203125" style="6" customWidth="1"/>
    <col min="10" max="10" width="4.6640625" style="6" customWidth="1"/>
    <col min="11" max="11" width="10.5" style="29" bestFit="1" customWidth="1"/>
    <col min="12" max="12" width="7.33203125" style="6" bestFit="1" customWidth="1"/>
    <col min="13" max="13" width="17.83203125" style="5" customWidth="1"/>
    <col min="14" max="16384" width="9.1640625" style="3"/>
  </cols>
  <sheetData>
    <row r="1" spans="1:13" s="2" customFormat="1" ht="29" customHeight="1">
      <c r="A1" s="47" t="s">
        <v>430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62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63"/>
      <c r="L4" s="58"/>
      <c r="M4" s="65"/>
    </row>
    <row r="5" spans="1:13" ht="16">
      <c r="A5" s="66" t="s">
        <v>36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304</v>
      </c>
      <c r="C6" s="7" t="s">
        <v>305</v>
      </c>
      <c r="D6" s="7" t="s">
        <v>306</v>
      </c>
      <c r="E6" s="7" t="s">
        <v>462</v>
      </c>
      <c r="F6" s="7" t="s">
        <v>125</v>
      </c>
      <c r="G6" s="14" t="s">
        <v>29</v>
      </c>
      <c r="H6" s="15" t="s">
        <v>128</v>
      </c>
      <c r="I6" s="15" t="s">
        <v>128</v>
      </c>
      <c r="J6" s="8"/>
      <c r="K6" s="28" t="str">
        <f>"90,0"</f>
        <v>90,0</v>
      </c>
      <c r="L6" s="8" t="str">
        <f>"64,7370"</f>
        <v>64,7370</v>
      </c>
      <c r="M6" s="7" t="s">
        <v>307</v>
      </c>
    </row>
    <row r="7" spans="1:13">
      <c r="B7" s="5" t="s">
        <v>17</v>
      </c>
    </row>
    <row r="8" spans="1:13" ht="16">
      <c r="A8" s="60" t="s">
        <v>45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98</v>
      </c>
      <c r="B9" s="7" t="s">
        <v>320</v>
      </c>
      <c r="C9" s="7" t="s">
        <v>321</v>
      </c>
      <c r="D9" s="7" t="s">
        <v>322</v>
      </c>
      <c r="E9" s="7" t="s">
        <v>464</v>
      </c>
      <c r="F9" s="7" t="s">
        <v>197</v>
      </c>
      <c r="G9" s="15" t="s">
        <v>191</v>
      </c>
      <c r="H9" s="15" t="s">
        <v>191</v>
      </c>
      <c r="I9" s="15" t="s">
        <v>191</v>
      </c>
      <c r="J9" s="8"/>
      <c r="K9" s="28">
        <v>0</v>
      </c>
      <c r="L9" s="8" t="str">
        <f>"0,0000"</f>
        <v>0,0000</v>
      </c>
      <c r="M9" s="7" t="s">
        <v>323</v>
      </c>
    </row>
    <row r="10" spans="1:13">
      <c r="B10" s="5" t="s">
        <v>17</v>
      </c>
    </row>
    <row r="11" spans="1:13" ht="16">
      <c r="A11" s="60" t="s">
        <v>111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17" t="s">
        <v>16</v>
      </c>
      <c r="B12" s="16" t="s">
        <v>112</v>
      </c>
      <c r="C12" s="16" t="s">
        <v>113</v>
      </c>
      <c r="D12" s="16" t="s">
        <v>114</v>
      </c>
      <c r="E12" s="16" t="s">
        <v>461</v>
      </c>
      <c r="F12" s="16" t="s">
        <v>448</v>
      </c>
      <c r="G12" s="20" t="s">
        <v>72</v>
      </c>
      <c r="H12" s="20" t="s">
        <v>143</v>
      </c>
      <c r="I12" s="21" t="s">
        <v>106</v>
      </c>
      <c r="J12" s="17"/>
      <c r="K12" s="30" t="str">
        <f>"150,0"</f>
        <v>150,0</v>
      </c>
      <c r="L12" s="17" t="str">
        <f>"88,7850"</f>
        <v>88,7850</v>
      </c>
      <c r="M12" s="16"/>
    </row>
    <row r="13" spans="1:13">
      <c r="A13" s="19" t="s">
        <v>16</v>
      </c>
      <c r="B13" s="18" t="s">
        <v>112</v>
      </c>
      <c r="C13" s="18" t="s">
        <v>263</v>
      </c>
      <c r="D13" s="18" t="s">
        <v>114</v>
      </c>
      <c r="E13" s="18" t="s">
        <v>465</v>
      </c>
      <c r="F13" s="18" t="s">
        <v>448</v>
      </c>
      <c r="G13" s="22" t="s">
        <v>72</v>
      </c>
      <c r="H13" s="22" t="s">
        <v>143</v>
      </c>
      <c r="I13" s="23" t="s">
        <v>106</v>
      </c>
      <c r="J13" s="19"/>
      <c r="K13" s="31" t="str">
        <f>"150,0"</f>
        <v>150,0</v>
      </c>
      <c r="L13" s="19" t="str">
        <f>"95,7102"</f>
        <v>95,7102</v>
      </c>
      <c r="M13" s="18"/>
    </row>
    <row r="14" spans="1:13">
      <c r="B14" s="5" t="s">
        <v>17</v>
      </c>
    </row>
    <row r="15" spans="1:13" ht="16">
      <c r="A15" s="60" t="s">
        <v>83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8" t="s">
        <v>16</v>
      </c>
      <c r="B16" s="7" t="s">
        <v>345</v>
      </c>
      <c r="C16" s="7" t="s">
        <v>346</v>
      </c>
      <c r="D16" s="7" t="s">
        <v>347</v>
      </c>
      <c r="E16" s="7" t="s">
        <v>461</v>
      </c>
      <c r="F16" s="7" t="s">
        <v>125</v>
      </c>
      <c r="G16" s="14" t="s">
        <v>80</v>
      </c>
      <c r="H16" s="14" t="s">
        <v>72</v>
      </c>
      <c r="I16" s="8"/>
      <c r="J16" s="8"/>
      <c r="K16" s="28" t="str">
        <f>"140,0"</f>
        <v>140,0</v>
      </c>
      <c r="L16" s="8" t="str">
        <f>"81,1300"</f>
        <v>81,1300</v>
      </c>
      <c r="M16" s="7"/>
    </row>
    <row r="17" spans="2:2">
      <c r="B17" s="5" t="s">
        <v>17</v>
      </c>
    </row>
    <row r="18" spans="2:2">
      <c r="B18" s="5" t="s">
        <v>17</v>
      </c>
    </row>
    <row r="19" spans="2:2">
      <c r="B19" s="5" t="s">
        <v>17</v>
      </c>
    </row>
  </sheetData>
  <mergeCells count="15">
    <mergeCell ref="A8:J8"/>
    <mergeCell ref="A11:J11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9E42E-B2CF-4AEF-8550-9A068F308AF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" style="5" customWidth="1"/>
    <col min="3" max="3" width="25.33203125" style="5" bestFit="1" customWidth="1"/>
    <col min="4" max="4" width="21" style="5" bestFit="1" customWidth="1"/>
    <col min="5" max="5" width="10.1640625" style="5" bestFit="1" customWidth="1"/>
    <col min="6" max="6" width="26.1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7.3320312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7" t="s">
        <v>435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56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286</v>
      </c>
      <c r="C6" s="7" t="s">
        <v>287</v>
      </c>
      <c r="D6" s="7" t="s">
        <v>288</v>
      </c>
      <c r="E6" s="7" t="s">
        <v>461</v>
      </c>
      <c r="F6" s="7" t="s">
        <v>447</v>
      </c>
      <c r="G6" s="14" t="s">
        <v>238</v>
      </c>
      <c r="H6" s="14" t="s">
        <v>212</v>
      </c>
      <c r="I6" s="14" t="s">
        <v>72</v>
      </c>
      <c r="J6" s="8"/>
      <c r="K6" s="8" t="str">
        <f>"140,0"</f>
        <v>140,0</v>
      </c>
      <c r="L6" s="8" t="str">
        <f>"89,4320"</f>
        <v>89,4320</v>
      </c>
      <c r="M6" s="7"/>
    </row>
    <row r="7" spans="1:13">
      <c r="B7" s="5" t="s">
        <v>17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E462-670E-43B8-9F15-93F2F4133529}">
  <dimension ref="A1:M38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7.1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7" t="s">
        <v>426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35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200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384</v>
      </c>
      <c r="C6" s="7" t="s">
        <v>385</v>
      </c>
      <c r="D6" s="7" t="s">
        <v>386</v>
      </c>
      <c r="E6" s="7" t="s">
        <v>461</v>
      </c>
      <c r="F6" s="7" t="s">
        <v>387</v>
      </c>
      <c r="G6" s="15" t="s">
        <v>63</v>
      </c>
      <c r="H6" s="14" t="s">
        <v>63</v>
      </c>
      <c r="I6" s="15" t="s">
        <v>72</v>
      </c>
      <c r="J6" s="8"/>
      <c r="K6" s="8" t="str">
        <f>"135,0"</f>
        <v>135,0</v>
      </c>
      <c r="L6" s="8" t="str">
        <f>"161,7975"</f>
        <v>161,7975</v>
      </c>
      <c r="M6" s="7" t="s">
        <v>388</v>
      </c>
    </row>
    <row r="7" spans="1:13">
      <c r="B7" s="5" t="s">
        <v>17</v>
      </c>
    </row>
    <row r="8" spans="1:13" ht="16">
      <c r="A8" s="60" t="s">
        <v>45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16</v>
      </c>
      <c r="B9" s="16" t="s">
        <v>222</v>
      </c>
      <c r="C9" s="16" t="s">
        <v>223</v>
      </c>
      <c r="D9" s="16" t="s">
        <v>224</v>
      </c>
      <c r="E9" s="16" t="s">
        <v>461</v>
      </c>
      <c r="F9" s="16" t="s">
        <v>125</v>
      </c>
      <c r="G9" s="20" t="s">
        <v>50</v>
      </c>
      <c r="H9" s="20" t="s">
        <v>52</v>
      </c>
      <c r="I9" s="20" t="s">
        <v>54</v>
      </c>
      <c r="J9" s="17"/>
      <c r="K9" s="17" t="str">
        <f>"265,0"</f>
        <v>265,0</v>
      </c>
      <c r="L9" s="17" t="str">
        <f>"177,5235"</f>
        <v>177,5235</v>
      </c>
      <c r="M9" s="16" t="s">
        <v>227</v>
      </c>
    </row>
    <row r="10" spans="1:13">
      <c r="A10" s="25" t="s">
        <v>99</v>
      </c>
      <c r="B10" s="24" t="s">
        <v>389</v>
      </c>
      <c r="C10" s="24" t="s">
        <v>390</v>
      </c>
      <c r="D10" s="24" t="s">
        <v>391</v>
      </c>
      <c r="E10" s="24" t="s">
        <v>461</v>
      </c>
      <c r="F10" s="24" t="s">
        <v>453</v>
      </c>
      <c r="G10" s="27" t="s">
        <v>41</v>
      </c>
      <c r="H10" s="26" t="s">
        <v>41</v>
      </c>
      <c r="I10" s="27" t="s">
        <v>61</v>
      </c>
      <c r="J10" s="25"/>
      <c r="K10" s="25" t="str">
        <f>"200,0"</f>
        <v>200,0</v>
      </c>
      <c r="L10" s="25" t="str">
        <f>"137,4200"</f>
        <v>137,4200</v>
      </c>
      <c r="M10" s="24" t="s">
        <v>24</v>
      </c>
    </row>
    <row r="11" spans="1:13">
      <c r="A11" s="19" t="s">
        <v>187</v>
      </c>
      <c r="B11" s="18" t="s">
        <v>228</v>
      </c>
      <c r="C11" s="18" t="s">
        <v>229</v>
      </c>
      <c r="D11" s="18" t="s">
        <v>230</v>
      </c>
      <c r="E11" s="18" t="s">
        <v>461</v>
      </c>
      <c r="F11" s="18" t="s">
        <v>125</v>
      </c>
      <c r="G11" s="22" t="s">
        <v>106</v>
      </c>
      <c r="H11" s="22" t="s">
        <v>154</v>
      </c>
      <c r="I11" s="22" t="s">
        <v>44</v>
      </c>
      <c r="J11" s="19"/>
      <c r="K11" s="19" t="str">
        <f>"170,0"</f>
        <v>170,0</v>
      </c>
      <c r="L11" s="19" t="str">
        <f>"115,1580"</f>
        <v>115,1580</v>
      </c>
      <c r="M11" s="18" t="s">
        <v>418</v>
      </c>
    </row>
    <row r="12" spans="1:13">
      <c r="B12" s="5" t="s">
        <v>17</v>
      </c>
    </row>
    <row r="13" spans="1:13" ht="16">
      <c r="A13" s="60" t="s">
        <v>56</v>
      </c>
      <c r="B13" s="60"/>
      <c r="C13" s="61"/>
      <c r="D13" s="61"/>
      <c r="E13" s="61"/>
      <c r="F13" s="61"/>
      <c r="G13" s="61"/>
      <c r="H13" s="61"/>
      <c r="I13" s="61"/>
      <c r="J13" s="61"/>
    </row>
    <row r="14" spans="1:13">
      <c r="A14" s="17" t="s">
        <v>16</v>
      </c>
      <c r="B14" s="16" t="s">
        <v>392</v>
      </c>
      <c r="C14" s="16" t="s">
        <v>393</v>
      </c>
      <c r="D14" s="16" t="s">
        <v>394</v>
      </c>
      <c r="E14" s="16" t="s">
        <v>462</v>
      </c>
      <c r="F14" s="16" t="s">
        <v>300</v>
      </c>
      <c r="G14" s="20" t="s">
        <v>164</v>
      </c>
      <c r="H14" s="20" t="s">
        <v>41</v>
      </c>
      <c r="I14" s="20" t="s">
        <v>60</v>
      </c>
      <c r="J14" s="17"/>
      <c r="K14" s="17" t="str">
        <f>"205,0"</f>
        <v>205,0</v>
      </c>
      <c r="L14" s="17" t="str">
        <f>"132,6555"</f>
        <v>132,6555</v>
      </c>
      <c r="M14" s="16"/>
    </row>
    <row r="15" spans="1:13">
      <c r="A15" s="19" t="s">
        <v>16</v>
      </c>
      <c r="B15" s="18" t="s">
        <v>395</v>
      </c>
      <c r="C15" s="18" t="s">
        <v>396</v>
      </c>
      <c r="D15" s="18" t="s">
        <v>59</v>
      </c>
      <c r="E15" s="18" t="s">
        <v>461</v>
      </c>
      <c r="F15" s="18" t="s">
        <v>455</v>
      </c>
      <c r="G15" s="22" t="s">
        <v>41</v>
      </c>
      <c r="H15" s="22" t="s">
        <v>71</v>
      </c>
      <c r="I15" s="23" t="s">
        <v>74</v>
      </c>
      <c r="J15" s="19"/>
      <c r="K15" s="19" t="str">
        <f>"215,0"</f>
        <v>215,0</v>
      </c>
      <c r="L15" s="19" t="str">
        <f>"137,2560"</f>
        <v>137,2560</v>
      </c>
      <c r="M15" s="18" t="s">
        <v>24</v>
      </c>
    </row>
    <row r="16" spans="1:13">
      <c r="B16" s="5" t="s">
        <v>17</v>
      </c>
    </row>
    <row r="17" spans="1:13" ht="16">
      <c r="A17" s="60" t="s">
        <v>25</v>
      </c>
      <c r="B17" s="60"/>
      <c r="C17" s="61"/>
      <c r="D17" s="61"/>
      <c r="E17" s="61"/>
      <c r="F17" s="61"/>
      <c r="G17" s="61"/>
      <c r="H17" s="61"/>
      <c r="I17" s="61"/>
      <c r="J17" s="61"/>
    </row>
    <row r="18" spans="1:13">
      <c r="A18" s="17" t="s">
        <v>16</v>
      </c>
      <c r="B18" s="16" t="s">
        <v>252</v>
      </c>
      <c r="C18" s="16" t="s">
        <v>253</v>
      </c>
      <c r="D18" s="16" t="s">
        <v>254</v>
      </c>
      <c r="E18" s="16" t="s">
        <v>464</v>
      </c>
      <c r="F18" s="16" t="s">
        <v>255</v>
      </c>
      <c r="G18" s="21" t="s">
        <v>81</v>
      </c>
      <c r="H18" s="21" t="s">
        <v>50</v>
      </c>
      <c r="I18" s="20" t="s">
        <v>50</v>
      </c>
      <c r="J18" s="17"/>
      <c r="K18" s="17" t="str">
        <f>"250,0"</f>
        <v>250,0</v>
      </c>
      <c r="L18" s="17" t="str">
        <f>"152,4000"</f>
        <v>152,4000</v>
      </c>
      <c r="M18" s="16"/>
    </row>
    <row r="19" spans="1:13">
      <c r="A19" s="25" t="s">
        <v>16</v>
      </c>
      <c r="B19" s="24" t="s">
        <v>103</v>
      </c>
      <c r="C19" s="24" t="s">
        <v>104</v>
      </c>
      <c r="D19" s="24" t="s">
        <v>105</v>
      </c>
      <c r="E19" s="24" t="s">
        <v>461</v>
      </c>
      <c r="F19" s="24" t="s">
        <v>448</v>
      </c>
      <c r="G19" s="26" t="s">
        <v>52</v>
      </c>
      <c r="H19" s="27" t="s">
        <v>108</v>
      </c>
      <c r="I19" s="27" t="s">
        <v>108</v>
      </c>
      <c r="J19" s="25"/>
      <c r="K19" s="25" t="str">
        <f>"260,0"</f>
        <v>260,0</v>
      </c>
      <c r="L19" s="25" t="str">
        <f>"158,5480"</f>
        <v>158,5480</v>
      </c>
      <c r="M19" s="24" t="s">
        <v>109</v>
      </c>
    </row>
    <row r="20" spans="1:13">
      <c r="A20" s="25" t="s">
        <v>99</v>
      </c>
      <c r="B20" s="24" t="s">
        <v>252</v>
      </c>
      <c r="C20" s="24" t="s">
        <v>256</v>
      </c>
      <c r="D20" s="24" t="s">
        <v>254</v>
      </c>
      <c r="E20" s="24" t="s">
        <v>461</v>
      </c>
      <c r="F20" s="24" t="s">
        <v>255</v>
      </c>
      <c r="G20" s="27" t="s">
        <v>81</v>
      </c>
      <c r="H20" s="27" t="s">
        <v>50</v>
      </c>
      <c r="I20" s="26" t="s">
        <v>50</v>
      </c>
      <c r="J20" s="25"/>
      <c r="K20" s="25" t="str">
        <f>"250,0"</f>
        <v>250,0</v>
      </c>
      <c r="L20" s="25" t="str">
        <f>"152,4000"</f>
        <v>152,4000</v>
      </c>
      <c r="M20" s="24"/>
    </row>
    <row r="21" spans="1:13">
      <c r="A21" s="19" t="s">
        <v>16</v>
      </c>
      <c r="B21" s="18" t="s">
        <v>103</v>
      </c>
      <c r="C21" s="18" t="s">
        <v>110</v>
      </c>
      <c r="D21" s="18" t="s">
        <v>105</v>
      </c>
      <c r="E21" s="18" t="s">
        <v>465</v>
      </c>
      <c r="F21" s="18" t="s">
        <v>448</v>
      </c>
      <c r="G21" s="22" t="s">
        <v>52</v>
      </c>
      <c r="H21" s="23" t="s">
        <v>108</v>
      </c>
      <c r="I21" s="23" t="s">
        <v>108</v>
      </c>
      <c r="J21" s="19"/>
      <c r="K21" s="19" t="str">
        <f>"260,0"</f>
        <v>260,0</v>
      </c>
      <c r="L21" s="19" t="str">
        <f>"158,5480"</f>
        <v>158,5480</v>
      </c>
      <c r="M21" s="18" t="s">
        <v>109</v>
      </c>
    </row>
    <row r="22" spans="1:13">
      <c r="B22" s="5" t="s">
        <v>17</v>
      </c>
    </row>
    <row r="23" spans="1:13" ht="16">
      <c r="A23" s="60" t="s">
        <v>111</v>
      </c>
      <c r="B23" s="60"/>
      <c r="C23" s="61"/>
      <c r="D23" s="61"/>
      <c r="E23" s="61"/>
      <c r="F23" s="61"/>
      <c r="G23" s="61"/>
      <c r="H23" s="61"/>
      <c r="I23" s="61"/>
      <c r="J23" s="61"/>
    </row>
    <row r="24" spans="1:13">
      <c r="A24" s="17" t="s">
        <v>16</v>
      </c>
      <c r="B24" s="16" t="s">
        <v>112</v>
      </c>
      <c r="C24" s="16" t="s">
        <v>113</v>
      </c>
      <c r="D24" s="16" t="s">
        <v>114</v>
      </c>
      <c r="E24" s="16" t="s">
        <v>461</v>
      </c>
      <c r="F24" s="16" t="s">
        <v>448</v>
      </c>
      <c r="G24" s="20" t="s">
        <v>42</v>
      </c>
      <c r="H24" s="20" t="s">
        <v>61</v>
      </c>
      <c r="I24" s="17"/>
      <c r="J24" s="17"/>
      <c r="K24" s="17" t="str">
        <f>"220,0"</f>
        <v>220,0</v>
      </c>
      <c r="L24" s="17" t="str">
        <f>"130,2180"</f>
        <v>130,2180</v>
      </c>
      <c r="M24" s="16"/>
    </row>
    <row r="25" spans="1:13">
      <c r="A25" s="19" t="s">
        <v>16</v>
      </c>
      <c r="B25" s="18" t="s">
        <v>112</v>
      </c>
      <c r="C25" s="18" t="s">
        <v>263</v>
      </c>
      <c r="D25" s="18" t="s">
        <v>114</v>
      </c>
      <c r="E25" s="18" t="s">
        <v>465</v>
      </c>
      <c r="F25" s="18" t="s">
        <v>448</v>
      </c>
      <c r="G25" s="22" t="s">
        <v>42</v>
      </c>
      <c r="H25" s="22" t="s">
        <v>61</v>
      </c>
      <c r="I25" s="19"/>
      <c r="J25" s="19"/>
      <c r="K25" s="19" t="str">
        <f>"220,0"</f>
        <v>220,0</v>
      </c>
      <c r="L25" s="19" t="str">
        <f>"140,3750"</f>
        <v>140,3750</v>
      </c>
      <c r="M25" s="18"/>
    </row>
    <row r="26" spans="1:13">
      <c r="B26" s="5" t="s">
        <v>17</v>
      </c>
    </row>
    <row r="27" spans="1:13" ht="16">
      <c r="A27" s="60" t="s">
        <v>83</v>
      </c>
      <c r="B27" s="60"/>
      <c r="C27" s="61"/>
      <c r="D27" s="61"/>
      <c r="E27" s="61"/>
      <c r="F27" s="61"/>
      <c r="G27" s="61"/>
      <c r="H27" s="61"/>
      <c r="I27" s="61"/>
      <c r="J27" s="61"/>
    </row>
    <row r="28" spans="1:13">
      <c r="A28" s="8" t="s">
        <v>16</v>
      </c>
      <c r="B28" s="7" t="s">
        <v>348</v>
      </c>
      <c r="C28" s="7" t="s">
        <v>349</v>
      </c>
      <c r="D28" s="7" t="s">
        <v>350</v>
      </c>
      <c r="E28" s="7" t="s">
        <v>461</v>
      </c>
      <c r="F28" s="7" t="s">
        <v>255</v>
      </c>
      <c r="G28" s="14" t="s">
        <v>87</v>
      </c>
      <c r="H28" s="15" t="s">
        <v>180</v>
      </c>
      <c r="I28" s="8"/>
      <c r="J28" s="8"/>
      <c r="K28" s="8" t="str">
        <f>"270,0"</f>
        <v>270,0</v>
      </c>
      <c r="L28" s="8" t="str">
        <f>"155,5470"</f>
        <v>155,5470</v>
      </c>
      <c r="M28" s="7" t="s">
        <v>109</v>
      </c>
    </row>
    <row r="29" spans="1:13">
      <c r="B29" s="5" t="s">
        <v>17</v>
      </c>
    </row>
    <row r="30" spans="1:13">
      <c r="B30" s="5" t="s">
        <v>17</v>
      </c>
    </row>
    <row r="31" spans="1:13">
      <c r="B31" s="5" t="s">
        <v>17</v>
      </c>
    </row>
    <row r="32" spans="1:13" ht="18">
      <c r="B32" s="9" t="s">
        <v>9</v>
      </c>
      <c r="C32" s="9"/>
    </row>
    <row r="33" spans="2:6" ht="16">
      <c r="B33" s="10" t="s">
        <v>10</v>
      </c>
      <c r="C33" s="10"/>
    </row>
    <row r="34" spans="2:6" ht="14">
      <c r="B34" s="11"/>
      <c r="C34" s="12" t="s">
        <v>95</v>
      </c>
    </row>
    <row r="35" spans="2:6" ht="14">
      <c r="B35" s="13" t="s">
        <v>11</v>
      </c>
      <c r="C35" s="13" t="s">
        <v>12</v>
      </c>
      <c r="D35" s="13" t="s">
        <v>454</v>
      </c>
      <c r="E35" s="13" t="s">
        <v>14</v>
      </c>
      <c r="F35" s="13" t="s">
        <v>92</v>
      </c>
    </row>
    <row r="36" spans="2:6">
      <c r="B36" s="5" t="s">
        <v>222</v>
      </c>
      <c r="C36" s="5" t="s">
        <v>95</v>
      </c>
      <c r="D36" s="6" t="s">
        <v>281</v>
      </c>
      <c r="E36" s="6" t="s">
        <v>54</v>
      </c>
      <c r="F36" s="6" t="s">
        <v>397</v>
      </c>
    </row>
    <row r="37" spans="2:6">
      <c r="B37" s="5" t="s">
        <v>103</v>
      </c>
      <c r="C37" s="5" t="s">
        <v>95</v>
      </c>
      <c r="D37" s="6" t="s">
        <v>32</v>
      </c>
      <c r="E37" s="6" t="s">
        <v>52</v>
      </c>
      <c r="F37" s="6" t="s">
        <v>398</v>
      </c>
    </row>
    <row r="38" spans="2:6">
      <c r="B38" s="5" t="s">
        <v>348</v>
      </c>
      <c r="C38" s="5" t="s">
        <v>95</v>
      </c>
      <c r="D38" s="6" t="s">
        <v>96</v>
      </c>
      <c r="E38" s="6" t="s">
        <v>87</v>
      </c>
      <c r="F38" s="6" t="s">
        <v>399</v>
      </c>
    </row>
  </sheetData>
  <mergeCells count="17">
    <mergeCell ref="A27:J27"/>
    <mergeCell ref="A5:J5"/>
    <mergeCell ref="A8:J8"/>
    <mergeCell ref="A13:J13"/>
    <mergeCell ref="A17:J17"/>
    <mergeCell ref="A23:J23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24E4-6135-4633-8DF7-25A6CA3943A1}">
  <dimension ref="A1:M34"/>
  <sheetViews>
    <sheetView workbookViewId="0">
      <selection activeCell="E25" sqref="E25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6" style="5" bestFit="1" customWidth="1"/>
    <col min="4" max="4" width="21" style="5" bestFit="1" customWidth="1"/>
    <col min="5" max="5" width="10.1640625" style="5" bestFit="1" customWidth="1"/>
    <col min="6" max="6" width="34.1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7" t="s">
        <v>427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35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36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18</v>
      </c>
      <c r="C6" s="7" t="s">
        <v>375</v>
      </c>
      <c r="D6" s="7" t="s">
        <v>19</v>
      </c>
      <c r="E6" s="7" t="s">
        <v>462</v>
      </c>
      <c r="F6" s="7" t="s">
        <v>455</v>
      </c>
      <c r="G6" s="14" t="s">
        <v>23</v>
      </c>
      <c r="H6" s="14" t="s">
        <v>72</v>
      </c>
      <c r="I6" s="14" t="s">
        <v>143</v>
      </c>
      <c r="J6" s="8"/>
      <c r="K6" s="8" t="str">
        <f>"150,0"</f>
        <v>150,0</v>
      </c>
      <c r="L6" s="8" t="str">
        <f>"106,8900"</f>
        <v>106,8900</v>
      </c>
      <c r="M6" s="7" t="s">
        <v>24</v>
      </c>
    </row>
    <row r="7" spans="1:13">
      <c r="B7" s="5" t="s">
        <v>17</v>
      </c>
    </row>
    <row r="8" spans="1:13" ht="16">
      <c r="A8" s="60" t="s">
        <v>45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16</v>
      </c>
      <c r="B9" s="7" t="s">
        <v>46</v>
      </c>
      <c r="C9" s="7" t="s">
        <v>47</v>
      </c>
      <c r="D9" s="7" t="s">
        <v>48</v>
      </c>
      <c r="E9" s="7" t="s">
        <v>461</v>
      </c>
      <c r="F9" s="7" t="s">
        <v>49</v>
      </c>
      <c r="G9" s="14" t="s">
        <v>52</v>
      </c>
      <c r="H9" s="14" t="s">
        <v>54</v>
      </c>
      <c r="I9" s="15" t="s">
        <v>87</v>
      </c>
      <c r="J9" s="8"/>
      <c r="K9" s="8" t="str">
        <f>"265,0"</f>
        <v>265,0</v>
      </c>
      <c r="L9" s="8" t="str">
        <f>"177,7885"</f>
        <v>177,7885</v>
      </c>
      <c r="M9" s="7" t="s">
        <v>55</v>
      </c>
    </row>
    <row r="10" spans="1:13">
      <c r="B10" s="5" t="s">
        <v>17</v>
      </c>
    </row>
    <row r="11" spans="1:13" ht="16">
      <c r="A11" s="60" t="s">
        <v>56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8" t="s">
        <v>16</v>
      </c>
      <c r="B12" s="7" t="s">
        <v>376</v>
      </c>
      <c r="C12" s="7" t="s">
        <v>377</v>
      </c>
      <c r="D12" s="7" t="s">
        <v>59</v>
      </c>
      <c r="E12" s="7" t="s">
        <v>461</v>
      </c>
      <c r="F12" s="7" t="s">
        <v>447</v>
      </c>
      <c r="G12" s="14" t="s">
        <v>178</v>
      </c>
      <c r="H12" s="14" t="s">
        <v>180</v>
      </c>
      <c r="I12" s="14" t="s">
        <v>168</v>
      </c>
      <c r="J12" s="8"/>
      <c r="K12" s="8" t="str">
        <f>"300,0"</f>
        <v>300,0</v>
      </c>
      <c r="L12" s="8" t="str">
        <f>"191,5200"</f>
        <v>191,5200</v>
      </c>
      <c r="M12" s="7"/>
    </row>
    <row r="13" spans="1:13">
      <c r="B13" s="5" t="s">
        <v>17</v>
      </c>
    </row>
    <row r="14" spans="1:13" ht="16">
      <c r="A14" s="60" t="s">
        <v>25</v>
      </c>
      <c r="B14" s="60"/>
      <c r="C14" s="61"/>
      <c r="D14" s="61"/>
      <c r="E14" s="61"/>
      <c r="F14" s="61"/>
      <c r="G14" s="61"/>
      <c r="H14" s="61"/>
      <c r="I14" s="61"/>
      <c r="J14" s="61"/>
    </row>
    <row r="15" spans="1:13">
      <c r="A15" s="8" t="s">
        <v>16</v>
      </c>
      <c r="B15" s="7" t="s">
        <v>155</v>
      </c>
      <c r="C15" s="7" t="s">
        <v>156</v>
      </c>
      <c r="D15" s="7" t="s">
        <v>157</v>
      </c>
      <c r="E15" s="7" t="s">
        <v>461</v>
      </c>
      <c r="F15" s="7" t="s">
        <v>147</v>
      </c>
      <c r="G15" s="14" t="s">
        <v>52</v>
      </c>
      <c r="H15" s="14" t="s">
        <v>149</v>
      </c>
      <c r="I15" s="8"/>
      <c r="J15" s="8"/>
      <c r="K15" s="8" t="str">
        <f>"272,5"</f>
        <v>272,5</v>
      </c>
      <c r="L15" s="8" t="str">
        <f>"166,0343"</f>
        <v>166,0343</v>
      </c>
      <c r="M15" s="7" t="s">
        <v>150</v>
      </c>
    </row>
    <row r="16" spans="1:13">
      <c r="B16" s="5" t="s">
        <v>17</v>
      </c>
    </row>
    <row r="17" spans="1:13" ht="16">
      <c r="A17" s="60" t="s">
        <v>111</v>
      </c>
      <c r="B17" s="60"/>
      <c r="C17" s="61"/>
      <c r="D17" s="61"/>
      <c r="E17" s="61"/>
      <c r="F17" s="61"/>
      <c r="G17" s="61"/>
      <c r="H17" s="61"/>
      <c r="I17" s="61"/>
      <c r="J17" s="61"/>
    </row>
    <row r="18" spans="1:13">
      <c r="A18" s="17" t="s">
        <v>16</v>
      </c>
      <c r="B18" s="16" t="s">
        <v>165</v>
      </c>
      <c r="C18" s="16" t="s">
        <v>166</v>
      </c>
      <c r="D18" s="16" t="s">
        <v>167</v>
      </c>
      <c r="E18" s="16" t="s">
        <v>461</v>
      </c>
      <c r="F18" s="16" t="s">
        <v>455</v>
      </c>
      <c r="G18" s="20" t="s">
        <v>171</v>
      </c>
      <c r="H18" s="21" t="s">
        <v>172</v>
      </c>
      <c r="I18" s="21" t="s">
        <v>172</v>
      </c>
      <c r="J18" s="17"/>
      <c r="K18" s="17" t="str">
        <f>"350,0"</f>
        <v>350,0</v>
      </c>
      <c r="L18" s="17" t="str">
        <f>"205,9750"</f>
        <v>205,9750</v>
      </c>
      <c r="M18" s="16" t="s">
        <v>24</v>
      </c>
    </row>
    <row r="19" spans="1:13">
      <c r="A19" s="25" t="s">
        <v>99</v>
      </c>
      <c r="B19" s="24" t="s">
        <v>173</v>
      </c>
      <c r="C19" s="24" t="s">
        <v>174</v>
      </c>
      <c r="D19" s="24" t="s">
        <v>175</v>
      </c>
      <c r="E19" s="24" t="s">
        <v>461</v>
      </c>
      <c r="F19" s="24" t="s">
        <v>176</v>
      </c>
      <c r="G19" s="26" t="s">
        <v>178</v>
      </c>
      <c r="H19" s="26" t="s">
        <v>179</v>
      </c>
      <c r="I19" s="26" t="s">
        <v>180</v>
      </c>
      <c r="J19" s="25"/>
      <c r="K19" s="25" t="str">
        <f>"295,0"</f>
        <v>295,0</v>
      </c>
      <c r="L19" s="25" t="str">
        <f>"175,2595"</f>
        <v>175,2595</v>
      </c>
      <c r="M19" s="24" t="s">
        <v>419</v>
      </c>
    </row>
    <row r="20" spans="1:13">
      <c r="A20" s="25" t="s">
        <v>187</v>
      </c>
      <c r="B20" s="24" t="s">
        <v>181</v>
      </c>
      <c r="C20" s="24" t="s">
        <v>182</v>
      </c>
      <c r="D20" s="24" t="s">
        <v>183</v>
      </c>
      <c r="E20" s="24" t="s">
        <v>461</v>
      </c>
      <c r="F20" s="24" t="s">
        <v>184</v>
      </c>
      <c r="G20" s="26" t="s">
        <v>88</v>
      </c>
      <c r="H20" s="27" t="s">
        <v>185</v>
      </c>
      <c r="I20" s="27" t="s">
        <v>185</v>
      </c>
      <c r="J20" s="25"/>
      <c r="K20" s="25" t="str">
        <f>"290,0"</f>
        <v>290,0</v>
      </c>
      <c r="L20" s="25" t="str">
        <f>"173,6520"</f>
        <v>173,6520</v>
      </c>
      <c r="M20" s="24" t="s">
        <v>186</v>
      </c>
    </row>
    <row r="21" spans="1:13">
      <c r="A21" s="19" t="s">
        <v>363</v>
      </c>
      <c r="B21" s="18" t="s">
        <v>378</v>
      </c>
      <c r="C21" s="18" t="s">
        <v>379</v>
      </c>
      <c r="D21" s="18" t="s">
        <v>380</v>
      </c>
      <c r="E21" s="18" t="s">
        <v>461</v>
      </c>
      <c r="F21" s="18" t="s">
        <v>197</v>
      </c>
      <c r="G21" s="22" t="s">
        <v>81</v>
      </c>
      <c r="H21" s="22" t="s">
        <v>52</v>
      </c>
      <c r="I21" s="22" t="s">
        <v>178</v>
      </c>
      <c r="J21" s="19"/>
      <c r="K21" s="19" t="str">
        <f>"280,0"</f>
        <v>280,0</v>
      </c>
      <c r="L21" s="19" t="str">
        <f>"169,4840"</f>
        <v>169,4840</v>
      </c>
      <c r="M21" s="18"/>
    </row>
    <row r="22" spans="1:13">
      <c r="B22" s="5" t="s">
        <v>17</v>
      </c>
    </row>
    <row r="23" spans="1:13" ht="16">
      <c r="A23" s="60" t="s">
        <v>83</v>
      </c>
      <c r="B23" s="60"/>
      <c r="C23" s="61"/>
      <c r="D23" s="61"/>
      <c r="E23" s="61"/>
      <c r="F23" s="61"/>
      <c r="G23" s="61"/>
      <c r="H23" s="61"/>
      <c r="I23" s="61"/>
      <c r="J23" s="61"/>
    </row>
    <row r="24" spans="1:13">
      <c r="A24" s="8" t="s">
        <v>16</v>
      </c>
      <c r="B24" s="7" t="s">
        <v>348</v>
      </c>
      <c r="C24" s="7" t="s">
        <v>349</v>
      </c>
      <c r="D24" s="7" t="s">
        <v>350</v>
      </c>
      <c r="E24" s="7" t="s">
        <v>461</v>
      </c>
      <c r="F24" s="7" t="s">
        <v>255</v>
      </c>
      <c r="G24" s="14" t="s">
        <v>87</v>
      </c>
      <c r="H24" s="15" t="s">
        <v>180</v>
      </c>
      <c r="I24" s="8"/>
      <c r="J24" s="8"/>
      <c r="K24" s="8" t="str">
        <f>"270,0"</f>
        <v>270,0</v>
      </c>
      <c r="L24" s="8" t="str">
        <f>"155,5470"</f>
        <v>155,5470</v>
      </c>
      <c r="M24" s="7" t="s">
        <v>109</v>
      </c>
    </row>
    <row r="25" spans="1:13">
      <c r="B25" s="5" t="s">
        <v>17</v>
      </c>
    </row>
    <row r="26" spans="1:13">
      <c r="B26" s="5" t="s">
        <v>17</v>
      </c>
    </row>
    <row r="27" spans="1:13">
      <c r="B27" s="5" t="s">
        <v>17</v>
      </c>
    </row>
    <row r="28" spans="1:13" ht="18">
      <c r="B28" s="9" t="s">
        <v>9</v>
      </c>
      <c r="C28" s="9"/>
    </row>
    <row r="29" spans="1:13" ht="16">
      <c r="B29" s="10" t="s">
        <v>10</v>
      </c>
      <c r="C29" s="10"/>
    </row>
    <row r="30" spans="1:13" ht="14">
      <c r="B30" s="11"/>
      <c r="C30" s="12" t="s">
        <v>95</v>
      </c>
    </row>
    <row r="31" spans="1:13" ht="14">
      <c r="B31" s="13" t="s">
        <v>11</v>
      </c>
      <c r="C31" s="13" t="s">
        <v>12</v>
      </c>
      <c r="D31" s="13" t="s">
        <v>454</v>
      </c>
      <c r="E31" s="13" t="s">
        <v>14</v>
      </c>
      <c r="F31" s="13" t="s">
        <v>92</v>
      </c>
    </row>
    <row r="32" spans="1:13">
      <c r="B32" s="5" t="s">
        <v>165</v>
      </c>
      <c r="C32" s="5" t="s">
        <v>95</v>
      </c>
      <c r="D32" s="6" t="s">
        <v>120</v>
      </c>
      <c r="E32" s="6" t="s">
        <v>171</v>
      </c>
      <c r="F32" s="6" t="s">
        <v>381</v>
      </c>
    </row>
    <row r="33" spans="2:6">
      <c r="B33" s="5" t="s">
        <v>376</v>
      </c>
      <c r="C33" s="5" t="s">
        <v>95</v>
      </c>
      <c r="D33" s="6" t="s">
        <v>97</v>
      </c>
      <c r="E33" s="6" t="s">
        <v>168</v>
      </c>
      <c r="F33" s="6" t="s">
        <v>382</v>
      </c>
    </row>
    <row r="34" spans="2:6">
      <c r="B34" s="5" t="s">
        <v>46</v>
      </c>
      <c r="C34" s="5" t="s">
        <v>95</v>
      </c>
      <c r="D34" s="6" t="s">
        <v>281</v>
      </c>
      <c r="E34" s="6" t="s">
        <v>54</v>
      </c>
      <c r="F34" s="6" t="s">
        <v>383</v>
      </c>
    </row>
  </sheetData>
  <mergeCells count="17">
    <mergeCell ref="A23:J23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2E65-AD24-4E1B-B3DF-7A69556B172F}">
  <dimension ref="A1:M18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8" style="5" bestFit="1" customWidth="1"/>
    <col min="4" max="4" width="21" style="5" bestFit="1" customWidth="1"/>
    <col min="5" max="5" width="10.1640625" style="5" bestFit="1" customWidth="1"/>
    <col min="6" max="6" width="31.1640625" style="5" bestFit="1" customWidth="1"/>
    <col min="7" max="9" width="5.5" style="6" customWidth="1"/>
    <col min="10" max="10" width="4.6640625" style="6" customWidth="1"/>
    <col min="11" max="11" width="10.5" style="6" bestFit="1" customWidth="1"/>
    <col min="12" max="12" width="7.3320312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7" t="s">
        <v>422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400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36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7" t="s">
        <v>16</v>
      </c>
      <c r="B6" s="16" t="s">
        <v>304</v>
      </c>
      <c r="C6" s="16" t="s">
        <v>442</v>
      </c>
      <c r="D6" s="16" t="s">
        <v>306</v>
      </c>
      <c r="E6" s="16" t="s">
        <v>467</v>
      </c>
      <c r="F6" s="16" t="s">
        <v>125</v>
      </c>
      <c r="G6" s="21" t="s">
        <v>30</v>
      </c>
      <c r="H6" s="20" t="s">
        <v>30</v>
      </c>
      <c r="I6" s="21" t="s">
        <v>127</v>
      </c>
      <c r="J6" s="17"/>
      <c r="K6" s="17" t="str">
        <f>"40,0"</f>
        <v>40,0</v>
      </c>
      <c r="L6" s="17" t="str">
        <f>"27,8180"</f>
        <v>27,8180</v>
      </c>
      <c r="M6" s="16" t="s">
        <v>307</v>
      </c>
    </row>
    <row r="7" spans="1:13">
      <c r="A7" s="25" t="s">
        <v>16</v>
      </c>
      <c r="B7" s="24" t="s">
        <v>315</v>
      </c>
      <c r="C7" s="24" t="s">
        <v>441</v>
      </c>
      <c r="D7" s="24" t="s">
        <v>412</v>
      </c>
      <c r="E7" s="24" t="s">
        <v>464</v>
      </c>
      <c r="F7" s="24" t="s">
        <v>446</v>
      </c>
      <c r="G7" s="26" t="s">
        <v>28</v>
      </c>
      <c r="H7" s="27" t="s">
        <v>126</v>
      </c>
      <c r="I7" s="27" t="s">
        <v>126</v>
      </c>
      <c r="J7" s="25"/>
      <c r="K7" s="25" t="str">
        <f>"50,0"</f>
        <v>50,0</v>
      </c>
      <c r="L7" s="25" t="str">
        <f>"34,5975"</f>
        <v>34,5975</v>
      </c>
      <c r="M7" s="24" t="e">
        <f>#REF!</f>
        <v>#REF!</v>
      </c>
    </row>
    <row r="8" spans="1:13">
      <c r="A8" s="19" t="s">
        <v>16</v>
      </c>
      <c r="B8" s="18" t="s">
        <v>100</v>
      </c>
      <c r="C8" s="18" t="s">
        <v>101</v>
      </c>
      <c r="D8" s="18" t="s">
        <v>19</v>
      </c>
      <c r="E8" s="18" t="s">
        <v>461</v>
      </c>
      <c r="F8" s="18" t="s">
        <v>446</v>
      </c>
      <c r="G8" s="22" t="s">
        <v>296</v>
      </c>
      <c r="H8" s="22" t="s">
        <v>408</v>
      </c>
      <c r="I8" s="23" t="s">
        <v>413</v>
      </c>
      <c r="J8" s="19"/>
      <c r="K8" s="19" t="str">
        <f>"57,5"</f>
        <v>57,5</v>
      </c>
      <c r="L8" s="19" t="str">
        <f>"39,5916"</f>
        <v>39,5916</v>
      </c>
      <c r="M8" s="18" t="s">
        <v>102</v>
      </c>
    </row>
    <row r="9" spans="1:13">
      <c r="B9" s="5" t="s">
        <v>17</v>
      </c>
    </row>
    <row r="10" spans="1:13" ht="16">
      <c r="A10" s="60" t="s">
        <v>45</v>
      </c>
      <c r="B10" s="60"/>
      <c r="C10" s="61"/>
      <c r="D10" s="61"/>
      <c r="E10" s="61"/>
      <c r="F10" s="61"/>
      <c r="G10" s="61"/>
      <c r="H10" s="61"/>
      <c r="I10" s="61"/>
      <c r="J10" s="61"/>
    </row>
    <row r="11" spans="1:13">
      <c r="A11" s="8" t="s">
        <v>16</v>
      </c>
      <c r="B11" s="7" t="s">
        <v>414</v>
      </c>
      <c r="C11" s="7" t="s">
        <v>415</v>
      </c>
      <c r="D11" s="7" t="s">
        <v>416</v>
      </c>
      <c r="E11" s="7" t="s">
        <v>461</v>
      </c>
      <c r="F11" s="7" t="s">
        <v>417</v>
      </c>
      <c r="G11" s="14" t="s">
        <v>296</v>
      </c>
      <c r="H11" s="14" t="s">
        <v>126</v>
      </c>
      <c r="I11" s="15" t="s">
        <v>163</v>
      </c>
      <c r="J11" s="8"/>
      <c r="K11" s="8" t="str">
        <f>"60,0"</f>
        <v>60,0</v>
      </c>
      <c r="L11" s="8" t="str">
        <f>"39,1740"</f>
        <v>39,1740</v>
      </c>
      <c r="M11" s="7"/>
    </row>
    <row r="12" spans="1:13">
      <c r="B12" s="5" t="s">
        <v>17</v>
      </c>
    </row>
    <row r="13" spans="1:13" ht="16">
      <c r="A13" s="60" t="s">
        <v>111</v>
      </c>
      <c r="B13" s="60"/>
      <c r="C13" s="61"/>
      <c r="D13" s="61"/>
      <c r="E13" s="61"/>
      <c r="F13" s="61"/>
      <c r="G13" s="61"/>
      <c r="H13" s="61"/>
      <c r="I13" s="61"/>
      <c r="J13" s="61"/>
    </row>
    <row r="14" spans="1:13">
      <c r="A14" s="17" t="s">
        <v>16</v>
      </c>
      <c r="B14" s="16" t="s">
        <v>7</v>
      </c>
      <c r="C14" s="16" t="s">
        <v>443</v>
      </c>
      <c r="D14" s="16" t="s">
        <v>8</v>
      </c>
      <c r="E14" s="16" t="s">
        <v>467</v>
      </c>
      <c r="F14" s="16" t="s">
        <v>446</v>
      </c>
      <c r="G14" s="20" t="s">
        <v>162</v>
      </c>
      <c r="H14" s="20" t="s">
        <v>163</v>
      </c>
      <c r="I14" s="20" t="s">
        <v>204</v>
      </c>
      <c r="J14" s="17"/>
      <c r="K14" s="17" t="str">
        <f>"75,0"</f>
        <v>75,0</v>
      </c>
      <c r="L14" s="17" t="str">
        <f>"42,2850"</f>
        <v>42,2850</v>
      </c>
      <c r="M14" s="16" t="e">
        <f>#REF!</f>
        <v>#REF!</v>
      </c>
    </row>
    <row r="15" spans="1:13">
      <c r="A15" s="25" t="s">
        <v>16</v>
      </c>
      <c r="B15" s="24" t="s">
        <v>112</v>
      </c>
      <c r="C15" s="24" t="s">
        <v>113</v>
      </c>
      <c r="D15" s="24" t="s">
        <v>114</v>
      </c>
      <c r="E15" s="24" t="s">
        <v>461</v>
      </c>
      <c r="F15" s="24" t="s">
        <v>448</v>
      </c>
      <c r="G15" s="26" t="s">
        <v>28</v>
      </c>
      <c r="H15" s="27" t="s">
        <v>126</v>
      </c>
      <c r="I15" s="25"/>
      <c r="J15" s="25"/>
      <c r="K15" s="25" t="str">
        <f>"50,0"</f>
        <v>50,0</v>
      </c>
      <c r="L15" s="25" t="str">
        <f>"28,2750"</f>
        <v>28,2750</v>
      </c>
      <c r="M15" s="24"/>
    </row>
    <row r="16" spans="1:13">
      <c r="A16" s="19" t="s">
        <v>16</v>
      </c>
      <c r="B16" s="18" t="s">
        <v>112</v>
      </c>
      <c r="C16" s="18" t="s">
        <v>263</v>
      </c>
      <c r="D16" s="18" t="s">
        <v>114</v>
      </c>
      <c r="E16" s="18" t="s">
        <v>465</v>
      </c>
      <c r="F16" s="18" t="s">
        <v>448</v>
      </c>
      <c r="G16" s="22" t="s">
        <v>28</v>
      </c>
      <c r="H16" s="23" t="s">
        <v>126</v>
      </c>
      <c r="I16" s="19"/>
      <c r="J16" s="19"/>
      <c r="K16" s="19" t="str">
        <f>"50,0"</f>
        <v>50,0</v>
      </c>
      <c r="L16" s="19" t="str">
        <f>"30,1977"</f>
        <v>30,1977</v>
      </c>
      <c r="M16" s="18"/>
    </row>
    <row r="17" spans="2:2">
      <c r="B17" s="5" t="s">
        <v>17</v>
      </c>
    </row>
    <row r="18" spans="2:2">
      <c r="B18" s="5" t="s">
        <v>17</v>
      </c>
    </row>
  </sheetData>
  <mergeCells count="14">
    <mergeCell ref="A10:J10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0E98-B074-40F3-9E9C-977EBD5B5C90}">
  <dimension ref="A1:M22"/>
  <sheetViews>
    <sheetView tabSelected="1"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8.5" style="5" bestFit="1" customWidth="1"/>
    <col min="4" max="4" width="21" style="5" bestFit="1" customWidth="1"/>
    <col min="5" max="5" width="10.1640625" style="5" bestFit="1" customWidth="1"/>
    <col min="6" max="6" width="42.6640625" style="5" bestFit="1" customWidth="1"/>
    <col min="7" max="9" width="5.5" style="6" customWidth="1"/>
    <col min="10" max="10" width="4.6640625" style="6" customWidth="1"/>
    <col min="11" max="11" width="10.5" style="6" bestFit="1" customWidth="1"/>
    <col min="12" max="12" width="7.3320312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7" t="s">
        <v>423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458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121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122</v>
      </c>
      <c r="C6" s="7" t="s">
        <v>444</v>
      </c>
      <c r="D6" s="7" t="s">
        <v>124</v>
      </c>
      <c r="E6" s="7" t="s">
        <v>464</v>
      </c>
      <c r="F6" s="7" t="s">
        <v>125</v>
      </c>
      <c r="G6" s="14" t="s">
        <v>401</v>
      </c>
      <c r="H6" s="14" t="s">
        <v>402</v>
      </c>
      <c r="I6" s="14" t="s">
        <v>403</v>
      </c>
      <c r="J6" s="8"/>
      <c r="K6" s="8" t="str">
        <f>"20,0"</f>
        <v>20,0</v>
      </c>
      <c r="L6" s="8" t="str">
        <f>"18,2260"</f>
        <v>18,2260</v>
      </c>
      <c r="M6" s="7"/>
    </row>
    <row r="7" spans="1:13">
      <c r="B7" s="5" t="s">
        <v>17</v>
      </c>
    </row>
    <row r="8" spans="1:13" ht="16">
      <c r="A8" s="60" t="s">
        <v>121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16</v>
      </c>
      <c r="B9" s="16" t="s">
        <v>404</v>
      </c>
      <c r="C9" s="16" t="s">
        <v>445</v>
      </c>
      <c r="D9" s="16" t="s">
        <v>405</v>
      </c>
      <c r="E9" s="16" t="s">
        <v>467</v>
      </c>
      <c r="F9" s="16" t="s">
        <v>450</v>
      </c>
      <c r="G9" s="20" t="s">
        <v>406</v>
      </c>
      <c r="H9" s="20" t="s">
        <v>28</v>
      </c>
      <c r="I9" s="17"/>
      <c r="J9" s="17"/>
      <c r="K9" s="17" t="str">
        <f>"50,0"</f>
        <v>50,0</v>
      </c>
      <c r="L9" s="17" t="str">
        <f>"37,4200"</f>
        <v>37,4200</v>
      </c>
      <c r="M9" s="16"/>
    </row>
    <row r="10" spans="1:13">
      <c r="A10" s="19" t="s">
        <v>16</v>
      </c>
      <c r="B10" s="18" t="s">
        <v>404</v>
      </c>
      <c r="C10" s="18" t="s">
        <v>407</v>
      </c>
      <c r="D10" s="18" t="s">
        <v>405</v>
      </c>
      <c r="E10" s="18" t="s">
        <v>461</v>
      </c>
      <c r="F10" s="18" t="s">
        <v>450</v>
      </c>
      <c r="G10" s="22" t="s">
        <v>406</v>
      </c>
      <c r="H10" s="22" t="s">
        <v>28</v>
      </c>
      <c r="I10" s="19"/>
      <c r="J10" s="19"/>
      <c r="K10" s="19" t="str">
        <f>"50,0"</f>
        <v>50,0</v>
      </c>
      <c r="L10" s="19" t="str">
        <f>"37,4200"</f>
        <v>37,4200</v>
      </c>
      <c r="M10" s="18"/>
    </row>
    <row r="11" spans="1:13">
      <c r="B11" s="5" t="s">
        <v>17</v>
      </c>
    </row>
    <row r="12" spans="1:13" ht="16">
      <c r="A12" s="60" t="s">
        <v>56</v>
      </c>
      <c r="B12" s="60"/>
      <c r="C12" s="61"/>
      <c r="D12" s="61"/>
      <c r="E12" s="61"/>
      <c r="F12" s="61"/>
      <c r="G12" s="61"/>
      <c r="H12" s="61"/>
      <c r="I12" s="61"/>
      <c r="J12" s="61"/>
    </row>
    <row r="13" spans="1:13">
      <c r="A13" s="8" t="s">
        <v>16</v>
      </c>
      <c r="B13" s="7" t="s">
        <v>286</v>
      </c>
      <c r="C13" s="7" t="s">
        <v>287</v>
      </c>
      <c r="D13" s="7" t="s">
        <v>288</v>
      </c>
      <c r="E13" s="7" t="s">
        <v>461</v>
      </c>
      <c r="F13" s="7" t="s">
        <v>447</v>
      </c>
      <c r="G13" s="14" t="s">
        <v>408</v>
      </c>
      <c r="H13" s="14" t="s">
        <v>162</v>
      </c>
      <c r="I13" s="15" t="s">
        <v>209</v>
      </c>
      <c r="J13" s="8"/>
      <c r="K13" s="8" t="str">
        <f>"65,0"</f>
        <v>65,0</v>
      </c>
      <c r="L13" s="8" t="str">
        <f>"39,7962"</f>
        <v>39,7962</v>
      </c>
      <c r="M13" s="7"/>
    </row>
    <row r="14" spans="1:13">
      <c r="B14" s="5" t="s">
        <v>17</v>
      </c>
    </row>
    <row r="15" spans="1:13" ht="16">
      <c r="A15" s="60" t="s">
        <v>25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17" t="s">
        <v>16</v>
      </c>
      <c r="B16" s="16" t="s">
        <v>409</v>
      </c>
      <c r="C16" s="16" t="s">
        <v>410</v>
      </c>
      <c r="D16" s="16" t="s">
        <v>27</v>
      </c>
      <c r="E16" s="16" t="s">
        <v>461</v>
      </c>
      <c r="F16" s="16" t="s">
        <v>446</v>
      </c>
      <c r="G16" s="20" t="s">
        <v>204</v>
      </c>
      <c r="H16" s="20" t="s">
        <v>210</v>
      </c>
      <c r="I16" s="20" t="s">
        <v>21</v>
      </c>
      <c r="J16" s="17"/>
      <c r="K16" s="17" t="str">
        <f>"80,0"</f>
        <v>80,0</v>
      </c>
      <c r="L16" s="17" t="str">
        <f>"46,6240"</f>
        <v>46,6240</v>
      </c>
      <c r="M16" s="16"/>
    </row>
    <row r="17" spans="1:13">
      <c r="A17" s="25" t="s">
        <v>99</v>
      </c>
      <c r="B17" s="24" t="s">
        <v>26</v>
      </c>
      <c r="C17" s="24" t="s">
        <v>411</v>
      </c>
      <c r="D17" s="24" t="s">
        <v>27</v>
      </c>
      <c r="E17" s="24" t="s">
        <v>461</v>
      </c>
      <c r="F17" s="24" t="s">
        <v>451</v>
      </c>
      <c r="G17" s="26" t="s">
        <v>162</v>
      </c>
      <c r="H17" s="26" t="s">
        <v>163</v>
      </c>
      <c r="I17" s="26" t="s">
        <v>204</v>
      </c>
      <c r="J17" s="25"/>
      <c r="K17" s="25" t="str">
        <f>"75,0"</f>
        <v>75,0</v>
      </c>
      <c r="L17" s="25" t="str">
        <f>"43,7100"</f>
        <v>43,7100</v>
      </c>
      <c r="M17" s="24"/>
    </row>
    <row r="18" spans="1:13">
      <c r="A18" s="19" t="s">
        <v>16</v>
      </c>
      <c r="B18" s="18" t="s">
        <v>26</v>
      </c>
      <c r="C18" s="18" t="s">
        <v>291</v>
      </c>
      <c r="D18" s="18" t="s">
        <v>27</v>
      </c>
      <c r="E18" s="18" t="s">
        <v>465</v>
      </c>
      <c r="F18" s="18" t="s">
        <v>451</v>
      </c>
      <c r="G18" s="22" t="s">
        <v>162</v>
      </c>
      <c r="H18" s="22" t="s">
        <v>163</v>
      </c>
      <c r="I18" s="22" t="s">
        <v>204</v>
      </c>
      <c r="J18" s="19"/>
      <c r="K18" s="19" t="str">
        <f>"75,0"</f>
        <v>75,0</v>
      </c>
      <c r="L18" s="19" t="str">
        <f>"43,7100"</f>
        <v>43,7100</v>
      </c>
      <c r="M18" s="18"/>
    </row>
    <row r="19" spans="1:13">
      <c r="B19" s="5" t="s">
        <v>17</v>
      </c>
    </row>
    <row r="20" spans="1:13" ht="16">
      <c r="A20" s="60" t="s">
        <v>111</v>
      </c>
      <c r="B20" s="60"/>
      <c r="C20" s="61"/>
      <c r="D20" s="61"/>
      <c r="E20" s="61"/>
      <c r="F20" s="61"/>
      <c r="G20" s="61"/>
      <c r="H20" s="61"/>
      <c r="I20" s="61"/>
      <c r="J20" s="61"/>
    </row>
    <row r="21" spans="1:13">
      <c r="A21" s="8" t="s">
        <v>16</v>
      </c>
      <c r="B21" s="7" t="s">
        <v>112</v>
      </c>
      <c r="C21" s="7" t="s">
        <v>263</v>
      </c>
      <c r="D21" s="7" t="s">
        <v>114</v>
      </c>
      <c r="E21" s="7" t="s">
        <v>465</v>
      </c>
      <c r="F21" s="7" t="s">
        <v>448</v>
      </c>
      <c r="G21" s="14" t="s">
        <v>28</v>
      </c>
      <c r="H21" s="15" t="s">
        <v>126</v>
      </c>
      <c r="I21" s="8"/>
      <c r="J21" s="8"/>
      <c r="K21" s="8" t="str">
        <f>"50,0"</f>
        <v>50,0</v>
      </c>
      <c r="L21" s="8" t="str">
        <f>"30,1977"</f>
        <v>30,1977</v>
      </c>
      <c r="M21" s="7"/>
    </row>
    <row r="22" spans="1:13">
      <c r="B22" s="5" t="s">
        <v>17</v>
      </c>
    </row>
  </sheetData>
  <mergeCells count="16">
    <mergeCell ref="A8:J8"/>
    <mergeCell ref="A12:J12"/>
    <mergeCell ref="A15:J15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DBC60-82E1-4575-8D22-EB882B74334D}">
  <dimension ref="A1:U27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4.1640625" style="5" bestFit="1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6" bestFit="1" customWidth="1"/>
    <col min="20" max="20" width="8.33203125" style="6" bestFit="1" customWidth="1"/>
    <col min="21" max="21" width="19" style="5" customWidth="1"/>
    <col min="22" max="16384" width="9.1640625" style="3"/>
  </cols>
  <sheetData>
    <row r="1" spans="1:21" s="2" customFormat="1" ht="29" customHeight="1">
      <c r="A1" s="47" t="s">
        <v>438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33</v>
      </c>
      <c r="H3" s="59"/>
      <c r="I3" s="59"/>
      <c r="J3" s="59"/>
      <c r="K3" s="59" t="s">
        <v>34</v>
      </c>
      <c r="L3" s="59"/>
      <c r="M3" s="59"/>
      <c r="N3" s="59"/>
      <c r="O3" s="59" t="s">
        <v>35</v>
      </c>
      <c r="P3" s="59"/>
      <c r="Q3" s="59"/>
      <c r="R3" s="59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5"/>
    </row>
    <row r="5" spans="1:21" ht="16">
      <c r="A5" s="66" t="s">
        <v>121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8" t="s">
        <v>16</v>
      </c>
      <c r="B6" s="7" t="s">
        <v>122</v>
      </c>
      <c r="C6" s="7" t="s">
        <v>123</v>
      </c>
      <c r="D6" s="7" t="s">
        <v>124</v>
      </c>
      <c r="E6" s="7" t="s">
        <v>464</v>
      </c>
      <c r="F6" s="7" t="s">
        <v>125</v>
      </c>
      <c r="G6" s="14" t="s">
        <v>30</v>
      </c>
      <c r="H6" s="14" t="s">
        <v>28</v>
      </c>
      <c r="I6" s="14" t="s">
        <v>126</v>
      </c>
      <c r="J6" s="8"/>
      <c r="K6" s="14" t="s">
        <v>30</v>
      </c>
      <c r="L6" s="15" t="s">
        <v>127</v>
      </c>
      <c r="M6" s="15" t="s">
        <v>127</v>
      </c>
      <c r="N6" s="8"/>
      <c r="O6" s="14" t="s">
        <v>128</v>
      </c>
      <c r="P6" s="14" t="s">
        <v>43</v>
      </c>
      <c r="Q6" s="14" t="s">
        <v>129</v>
      </c>
      <c r="R6" s="8"/>
      <c r="S6" s="8" t="str">
        <f>"202,5"</f>
        <v>202,5</v>
      </c>
      <c r="T6" s="8" t="str">
        <f>"209,1420"</f>
        <v>209,1420</v>
      </c>
      <c r="U6" s="7"/>
    </row>
    <row r="7" spans="1:21">
      <c r="B7" s="5" t="s">
        <v>17</v>
      </c>
    </row>
    <row r="8" spans="1:21" ht="16">
      <c r="A8" s="60" t="s">
        <v>36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8" t="s">
        <v>16</v>
      </c>
      <c r="B9" s="7" t="s">
        <v>130</v>
      </c>
      <c r="C9" s="7" t="s">
        <v>131</v>
      </c>
      <c r="D9" s="7" t="s">
        <v>132</v>
      </c>
      <c r="E9" s="7" t="s">
        <v>465</v>
      </c>
      <c r="F9" s="7" t="s">
        <v>133</v>
      </c>
      <c r="G9" s="14" t="s">
        <v>53</v>
      </c>
      <c r="H9" s="14" t="s">
        <v>134</v>
      </c>
      <c r="I9" s="14" t="s">
        <v>44</v>
      </c>
      <c r="J9" s="8"/>
      <c r="K9" s="14" t="s">
        <v>135</v>
      </c>
      <c r="L9" s="14" t="s">
        <v>136</v>
      </c>
      <c r="M9" s="15" t="s">
        <v>137</v>
      </c>
      <c r="N9" s="8"/>
      <c r="O9" s="14" t="s">
        <v>40</v>
      </c>
      <c r="P9" s="14" t="s">
        <v>138</v>
      </c>
      <c r="Q9" s="8"/>
      <c r="R9" s="8"/>
      <c r="S9" s="8" t="str">
        <f>"455,0"</f>
        <v>455,0</v>
      </c>
      <c r="T9" s="8" t="str">
        <f>"463,6195"</f>
        <v>463,6195</v>
      </c>
      <c r="U9" s="7"/>
    </row>
    <row r="10" spans="1:21">
      <c r="B10" s="5" t="s">
        <v>17</v>
      </c>
    </row>
    <row r="11" spans="1:21" ht="16">
      <c r="A11" s="60" t="s">
        <v>121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8" t="s">
        <v>16</v>
      </c>
      <c r="B12" s="7" t="s">
        <v>139</v>
      </c>
      <c r="C12" s="7" t="s">
        <v>140</v>
      </c>
      <c r="D12" s="7" t="s">
        <v>141</v>
      </c>
      <c r="E12" s="7" t="s">
        <v>461</v>
      </c>
      <c r="F12" s="7" t="s">
        <v>446</v>
      </c>
      <c r="G12" s="14" t="s">
        <v>80</v>
      </c>
      <c r="H12" s="15" t="s">
        <v>142</v>
      </c>
      <c r="I12" s="15" t="s">
        <v>142</v>
      </c>
      <c r="J12" s="8"/>
      <c r="K12" s="14" t="s">
        <v>63</v>
      </c>
      <c r="L12" s="15" t="s">
        <v>72</v>
      </c>
      <c r="M12" s="15" t="s">
        <v>72</v>
      </c>
      <c r="N12" s="8"/>
      <c r="O12" s="14" t="s">
        <v>143</v>
      </c>
      <c r="P12" s="14" t="s">
        <v>107</v>
      </c>
      <c r="Q12" s="14" t="s">
        <v>144</v>
      </c>
      <c r="R12" s="8"/>
      <c r="S12" s="8" t="str">
        <f>"440,0"</f>
        <v>440,0</v>
      </c>
      <c r="T12" s="8" t="str">
        <f>"354,5080"</f>
        <v>354,5080</v>
      </c>
      <c r="U12" s="7" t="s">
        <v>109</v>
      </c>
    </row>
    <row r="13" spans="1:21">
      <c r="B13" s="5" t="s">
        <v>17</v>
      </c>
    </row>
    <row r="14" spans="1:21" ht="16">
      <c r="A14" s="60" t="s">
        <v>56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21">
      <c r="A15" s="17" t="s">
        <v>16</v>
      </c>
      <c r="B15" s="16" t="s">
        <v>145</v>
      </c>
      <c r="C15" s="16" t="s">
        <v>146</v>
      </c>
      <c r="D15" s="16" t="s">
        <v>70</v>
      </c>
      <c r="E15" s="16" t="s">
        <v>461</v>
      </c>
      <c r="F15" s="16" t="s">
        <v>147</v>
      </c>
      <c r="G15" s="21" t="s">
        <v>66</v>
      </c>
      <c r="H15" s="20" t="s">
        <v>66</v>
      </c>
      <c r="I15" s="17"/>
      <c r="J15" s="17"/>
      <c r="K15" s="20" t="s">
        <v>106</v>
      </c>
      <c r="L15" s="20" t="s">
        <v>44</v>
      </c>
      <c r="M15" s="20" t="s">
        <v>148</v>
      </c>
      <c r="N15" s="17"/>
      <c r="O15" s="20" t="s">
        <v>51</v>
      </c>
      <c r="P15" s="20" t="s">
        <v>54</v>
      </c>
      <c r="Q15" s="20" t="s">
        <v>149</v>
      </c>
      <c r="R15" s="17"/>
      <c r="S15" s="17" t="str">
        <f>"670,0"</f>
        <v>670,0</v>
      </c>
      <c r="T15" s="17" t="str">
        <f>"430,2070"</f>
        <v>430,2070</v>
      </c>
      <c r="U15" s="16" t="s">
        <v>150</v>
      </c>
    </row>
    <row r="16" spans="1:21">
      <c r="A16" s="19" t="s">
        <v>16</v>
      </c>
      <c r="B16" s="18" t="s">
        <v>151</v>
      </c>
      <c r="C16" s="18" t="s">
        <v>152</v>
      </c>
      <c r="D16" s="18" t="s">
        <v>59</v>
      </c>
      <c r="E16" s="18" t="s">
        <v>465</v>
      </c>
      <c r="F16" s="18" t="s">
        <v>448</v>
      </c>
      <c r="G16" s="22" t="s">
        <v>74</v>
      </c>
      <c r="H16" s="23" t="s">
        <v>50</v>
      </c>
      <c r="I16" s="22" t="s">
        <v>153</v>
      </c>
      <c r="J16" s="19"/>
      <c r="K16" s="22" t="s">
        <v>154</v>
      </c>
      <c r="L16" s="22" t="s">
        <v>148</v>
      </c>
      <c r="M16" s="23" t="s">
        <v>118</v>
      </c>
      <c r="N16" s="19"/>
      <c r="O16" s="22" t="s">
        <v>81</v>
      </c>
      <c r="P16" s="23" t="s">
        <v>50</v>
      </c>
      <c r="Q16" s="23" t="s">
        <v>50</v>
      </c>
      <c r="R16" s="19"/>
      <c r="S16" s="19" t="str">
        <f>"665,0"</f>
        <v>665,0</v>
      </c>
      <c r="T16" s="19" t="str">
        <f>"426,6587"</f>
        <v>426,6587</v>
      </c>
      <c r="U16" s="18"/>
    </row>
    <row r="17" spans="1:21">
      <c r="B17" s="5" t="s">
        <v>17</v>
      </c>
    </row>
    <row r="18" spans="1:21" ht="16">
      <c r="A18" s="60" t="s">
        <v>25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17" t="s">
        <v>16</v>
      </c>
      <c r="B19" s="16" t="s">
        <v>155</v>
      </c>
      <c r="C19" s="16" t="s">
        <v>156</v>
      </c>
      <c r="D19" s="16" t="s">
        <v>157</v>
      </c>
      <c r="E19" s="16" t="s">
        <v>461</v>
      </c>
      <c r="F19" s="16" t="s">
        <v>147</v>
      </c>
      <c r="G19" s="20" t="s">
        <v>42</v>
      </c>
      <c r="H19" s="20" t="s">
        <v>61</v>
      </c>
      <c r="I19" s="17"/>
      <c r="J19" s="17"/>
      <c r="K19" s="21" t="s">
        <v>158</v>
      </c>
      <c r="L19" s="21" t="s">
        <v>158</v>
      </c>
      <c r="M19" s="20" t="s">
        <v>158</v>
      </c>
      <c r="N19" s="17"/>
      <c r="O19" s="20" t="s">
        <v>52</v>
      </c>
      <c r="P19" s="20" t="s">
        <v>149</v>
      </c>
      <c r="Q19" s="17"/>
      <c r="R19" s="17"/>
      <c r="S19" s="17" t="str">
        <f>"700,0"</f>
        <v>700,0</v>
      </c>
      <c r="T19" s="17" t="str">
        <f>"426,5100"</f>
        <v>426,5100</v>
      </c>
      <c r="U19" s="16" t="s">
        <v>150</v>
      </c>
    </row>
    <row r="20" spans="1:21">
      <c r="A20" s="19" t="s">
        <v>16</v>
      </c>
      <c r="B20" s="18" t="s">
        <v>159</v>
      </c>
      <c r="C20" s="18" t="s">
        <v>160</v>
      </c>
      <c r="D20" s="18" t="s">
        <v>161</v>
      </c>
      <c r="E20" s="18" t="s">
        <v>466</v>
      </c>
      <c r="F20" s="18" t="s">
        <v>125</v>
      </c>
      <c r="G20" s="22" t="s">
        <v>80</v>
      </c>
      <c r="H20" s="22" t="s">
        <v>64</v>
      </c>
      <c r="I20" s="23" t="s">
        <v>143</v>
      </c>
      <c r="J20" s="19"/>
      <c r="K20" s="22" t="s">
        <v>126</v>
      </c>
      <c r="L20" s="22" t="s">
        <v>162</v>
      </c>
      <c r="M20" s="23" t="s">
        <v>163</v>
      </c>
      <c r="N20" s="19"/>
      <c r="O20" s="22" t="s">
        <v>106</v>
      </c>
      <c r="P20" s="22" t="s">
        <v>144</v>
      </c>
      <c r="Q20" s="22" t="s">
        <v>164</v>
      </c>
      <c r="R20" s="19"/>
      <c r="S20" s="19" t="str">
        <f>"390,0"</f>
        <v>390,0</v>
      </c>
      <c r="T20" s="19" t="str">
        <f>"458,8155"</f>
        <v>458,8155</v>
      </c>
      <c r="U20" s="18"/>
    </row>
    <row r="21" spans="1:21">
      <c r="B21" s="5" t="s">
        <v>17</v>
      </c>
    </row>
    <row r="22" spans="1:21" ht="16">
      <c r="A22" s="60" t="s">
        <v>111</v>
      </c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1">
      <c r="A23" s="17" t="s">
        <v>16</v>
      </c>
      <c r="B23" s="16" t="s">
        <v>165</v>
      </c>
      <c r="C23" s="16" t="s">
        <v>166</v>
      </c>
      <c r="D23" s="16" t="s">
        <v>167</v>
      </c>
      <c r="E23" s="16" t="s">
        <v>461</v>
      </c>
      <c r="F23" s="16" t="s">
        <v>455</v>
      </c>
      <c r="G23" s="20" t="s">
        <v>168</v>
      </c>
      <c r="H23" s="20" t="s">
        <v>169</v>
      </c>
      <c r="I23" s="20" t="s">
        <v>170</v>
      </c>
      <c r="J23" s="17"/>
      <c r="K23" s="20" t="s">
        <v>164</v>
      </c>
      <c r="L23" s="21" t="s">
        <v>40</v>
      </c>
      <c r="M23" s="17"/>
      <c r="N23" s="17"/>
      <c r="O23" s="20" t="s">
        <v>171</v>
      </c>
      <c r="P23" s="21" t="s">
        <v>172</v>
      </c>
      <c r="Q23" s="21" t="s">
        <v>172</v>
      </c>
      <c r="R23" s="17"/>
      <c r="S23" s="17" t="str">
        <f>"845,0"</f>
        <v>845,0</v>
      </c>
      <c r="T23" s="17" t="str">
        <f>"497,2825"</f>
        <v>497,2825</v>
      </c>
      <c r="U23" s="16" t="s">
        <v>24</v>
      </c>
    </row>
    <row r="24" spans="1:21">
      <c r="A24" s="25" t="s">
        <v>99</v>
      </c>
      <c r="B24" s="24" t="s">
        <v>173</v>
      </c>
      <c r="C24" s="24" t="s">
        <v>174</v>
      </c>
      <c r="D24" s="24" t="s">
        <v>175</v>
      </c>
      <c r="E24" s="24" t="s">
        <v>461</v>
      </c>
      <c r="F24" s="24" t="s">
        <v>176</v>
      </c>
      <c r="G24" s="26" t="s">
        <v>74</v>
      </c>
      <c r="H24" s="26" t="s">
        <v>81</v>
      </c>
      <c r="I24" s="26" t="s">
        <v>177</v>
      </c>
      <c r="J24" s="25"/>
      <c r="K24" s="26" t="s">
        <v>107</v>
      </c>
      <c r="L24" s="26" t="s">
        <v>44</v>
      </c>
      <c r="M24" s="26" t="s">
        <v>144</v>
      </c>
      <c r="N24" s="25"/>
      <c r="O24" s="26" t="s">
        <v>178</v>
      </c>
      <c r="P24" s="26" t="s">
        <v>179</v>
      </c>
      <c r="Q24" s="26" t="s">
        <v>180</v>
      </c>
      <c r="R24" s="25"/>
      <c r="S24" s="25" t="str">
        <f>"717,5"</f>
        <v>717,5</v>
      </c>
      <c r="T24" s="25" t="str">
        <f>"426,2667"</f>
        <v>426,2667</v>
      </c>
      <c r="U24" s="24" t="s">
        <v>421</v>
      </c>
    </row>
    <row r="25" spans="1:21">
      <c r="A25" s="19" t="s">
        <v>187</v>
      </c>
      <c r="B25" s="18" t="s">
        <v>181</v>
      </c>
      <c r="C25" s="18" t="s">
        <v>182</v>
      </c>
      <c r="D25" s="18" t="s">
        <v>183</v>
      </c>
      <c r="E25" s="18" t="s">
        <v>461</v>
      </c>
      <c r="F25" s="18" t="s">
        <v>184</v>
      </c>
      <c r="G25" s="23" t="s">
        <v>42</v>
      </c>
      <c r="H25" s="23" t="s">
        <v>74</v>
      </c>
      <c r="I25" s="22" t="s">
        <v>74</v>
      </c>
      <c r="J25" s="19"/>
      <c r="K25" s="22" t="s">
        <v>106</v>
      </c>
      <c r="L25" s="23" t="s">
        <v>44</v>
      </c>
      <c r="M25" s="23" t="s">
        <v>44</v>
      </c>
      <c r="N25" s="19"/>
      <c r="O25" s="22" t="s">
        <v>88</v>
      </c>
      <c r="P25" s="23" t="s">
        <v>185</v>
      </c>
      <c r="Q25" s="23" t="s">
        <v>185</v>
      </c>
      <c r="R25" s="19"/>
      <c r="S25" s="19" t="str">
        <f>"680,0"</f>
        <v>680,0</v>
      </c>
      <c r="T25" s="19" t="str">
        <f>"407,1840"</f>
        <v>407,1840</v>
      </c>
      <c r="U25" s="18" t="s">
        <v>186</v>
      </c>
    </row>
    <row r="26" spans="1:21">
      <c r="B26" s="5" t="s">
        <v>17</v>
      </c>
    </row>
    <row r="27" spans="1:21">
      <c r="B27" s="5" t="s">
        <v>17</v>
      </c>
    </row>
  </sheetData>
  <mergeCells count="19">
    <mergeCell ref="A22:R22"/>
    <mergeCell ref="A5:R5"/>
    <mergeCell ref="A8:R8"/>
    <mergeCell ref="A11:R11"/>
    <mergeCell ref="A14:R14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4D6B-7FA6-45E6-A748-35EEAEF0F1E2}">
  <dimension ref="A1:U19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6.33203125" style="5" bestFit="1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29" bestFit="1" customWidth="1"/>
    <col min="20" max="20" width="8.3320312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7" t="s">
        <v>439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33</v>
      </c>
      <c r="H3" s="59"/>
      <c r="I3" s="59"/>
      <c r="J3" s="59"/>
      <c r="K3" s="59" t="s">
        <v>34</v>
      </c>
      <c r="L3" s="59"/>
      <c r="M3" s="59"/>
      <c r="N3" s="59"/>
      <c r="O3" s="59" t="s">
        <v>35</v>
      </c>
      <c r="P3" s="59"/>
      <c r="Q3" s="59"/>
      <c r="R3" s="59"/>
      <c r="S3" s="62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58"/>
      <c r="U4" s="65"/>
    </row>
    <row r="5" spans="1:21" ht="16">
      <c r="A5" s="66" t="s">
        <v>36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8" t="s">
        <v>98</v>
      </c>
      <c r="B6" s="7" t="s">
        <v>100</v>
      </c>
      <c r="C6" s="7" t="s">
        <v>101</v>
      </c>
      <c r="D6" s="7" t="s">
        <v>19</v>
      </c>
      <c r="E6" s="7" t="s">
        <v>461</v>
      </c>
      <c r="F6" s="7" t="s">
        <v>446</v>
      </c>
      <c r="G6" s="15" t="s">
        <v>72</v>
      </c>
      <c r="H6" s="15" t="s">
        <v>72</v>
      </c>
      <c r="I6" s="14" t="s">
        <v>72</v>
      </c>
      <c r="J6" s="8"/>
      <c r="K6" s="15" t="s">
        <v>23</v>
      </c>
      <c r="L6" s="15" t="s">
        <v>23</v>
      </c>
      <c r="M6" s="15" t="s">
        <v>23</v>
      </c>
      <c r="N6" s="8"/>
      <c r="O6" s="15"/>
      <c r="P6" s="15"/>
      <c r="Q6" s="15"/>
      <c r="R6" s="8"/>
      <c r="S6" s="28">
        <v>0</v>
      </c>
      <c r="T6" s="8" t="str">
        <f>"0,0000"</f>
        <v>0,0000</v>
      </c>
      <c r="U6" s="7" t="s">
        <v>102</v>
      </c>
    </row>
    <row r="7" spans="1:21">
      <c r="B7" s="5" t="s">
        <v>17</v>
      </c>
    </row>
    <row r="8" spans="1:21" ht="16">
      <c r="A8" s="60" t="s">
        <v>25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17" t="s">
        <v>16</v>
      </c>
      <c r="B9" s="16" t="s">
        <v>103</v>
      </c>
      <c r="C9" s="16" t="s">
        <v>104</v>
      </c>
      <c r="D9" s="16" t="s">
        <v>105</v>
      </c>
      <c r="E9" s="16" t="s">
        <v>461</v>
      </c>
      <c r="F9" s="16" t="s">
        <v>448</v>
      </c>
      <c r="G9" s="20" t="s">
        <v>50</v>
      </c>
      <c r="H9" s="21" t="s">
        <v>52</v>
      </c>
      <c r="I9" s="21" t="s">
        <v>54</v>
      </c>
      <c r="J9" s="17"/>
      <c r="K9" s="20" t="s">
        <v>53</v>
      </c>
      <c r="L9" s="20" t="s">
        <v>106</v>
      </c>
      <c r="M9" s="21" t="s">
        <v>107</v>
      </c>
      <c r="N9" s="17"/>
      <c r="O9" s="20" t="s">
        <v>52</v>
      </c>
      <c r="P9" s="21" t="s">
        <v>108</v>
      </c>
      <c r="Q9" s="21" t="s">
        <v>108</v>
      </c>
      <c r="R9" s="17"/>
      <c r="S9" s="30" t="str">
        <f>"670,0"</f>
        <v>670,0</v>
      </c>
      <c r="T9" s="17" t="str">
        <f>"408,5660"</f>
        <v>408,5660</v>
      </c>
      <c r="U9" s="16" t="s">
        <v>109</v>
      </c>
    </row>
    <row r="10" spans="1:21">
      <c r="A10" s="19" t="s">
        <v>16</v>
      </c>
      <c r="B10" s="18" t="s">
        <v>103</v>
      </c>
      <c r="C10" s="18" t="s">
        <v>110</v>
      </c>
      <c r="D10" s="18" t="s">
        <v>105</v>
      </c>
      <c r="E10" s="18" t="s">
        <v>465</v>
      </c>
      <c r="F10" s="18" t="s">
        <v>448</v>
      </c>
      <c r="G10" s="22" t="s">
        <v>50</v>
      </c>
      <c r="H10" s="23" t="s">
        <v>52</v>
      </c>
      <c r="I10" s="23" t="s">
        <v>54</v>
      </c>
      <c r="J10" s="19"/>
      <c r="K10" s="22" t="s">
        <v>53</v>
      </c>
      <c r="L10" s="22" t="s">
        <v>106</v>
      </c>
      <c r="M10" s="23" t="s">
        <v>107</v>
      </c>
      <c r="N10" s="19"/>
      <c r="O10" s="22" t="s">
        <v>52</v>
      </c>
      <c r="P10" s="23" t="s">
        <v>108</v>
      </c>
      <c r="Q10" s="23" t="s">
        <v>108</v>
      </c>
      <c r="R10" s="19"/>
      <c r="S10" s="31" t="str">
        <f>"670,0"</f>
        <v>670,0</v>
      </c>
      <c r="T10" s="19" t="str">
        <f>"408,5660"</f>
        <v>408,5660</v>
      </c>
      <c r="U10" s="18" t="s">
        <v>109</v>
      </c>
    </row>
    <row r="11" spans="1:21">
      <c r="B11" s="5" t="s">
        <v>17</v>
      </c>
    </row>
    <row r="12" spans="1:21" ht="16">
      <c r="A12" s="60" t="s">
        <v>111</v>
      </c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21">
      <c r="A13" s="8" t="s">
        <v>16</v>
      </c>
      <c r="B13" s="7" t="s">
        <v>112</v>
      </c>
      <c r="C13" s="7" t="s">
        <v>113</v>
      </c>
      <c r="D13" s="7" t="s">
        <v>114</v>
      </c>
      <c r="E13" s="7" t="s">
        <v>461</v>
      </c>
      <c r="F13" s="7" t="s">
        <v>448</v>
      </c>
      <c r="G13" s="14" t="s">
        <v>61</v>
      </c>
      <c r="H13" s="14" t="s">
        <v>74</v>
      </c>
      <c r="I13" s="15" t="s">
        <v>81</v>
      </c>
      <c r="J13" s="8"/>
      <c r="K13" s="14" t="s">
        <v>106</v>
      </c>
      <c r="L13" s="14" t="s">
        <v>44</v>
      </c>
      <c r="M13" s="8"/>
      <c r="N13" s="8"/>
      <c r="O13" s="14" t="s">
        <v>42</v>
      </c>
      <c r="P13" s="14" t="s">
        <v>61</v>
      </c>
      <c r="Q13" s="8"/>
      <c r="R13" s="8"/>
      <c r="S13" s="28" t="str">
        <f>"620,0"</f>
        <v>620,0</v>
      </c>
      <c r="T13" s="8" t="str">
        <f>"366,9780"</f>
        <v>366,9780</v>
      </c>
      <c r="U13" s="7"/>
    </row>
    <row r="14" spans="1:21">
      <c r="B14" s="5" t="s">
        <v>17</v>
      </c>
    </row>
    <row r="15" spans="1:21" ht="16">
      <c r="A15" s="60" t="s">
        <v>83</v>
      </c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17" t="s">
        <v>16</v>
      </c>
      <c r="B16" s="16" t="s">
        <v>115</v>
      </c>
      <c r="C16" s="16" t="s">
        <v>116</v>
      </c>
      <c r="D16" s="16" t="s">
        <v>117</v>
      </c>
      <c r="E16" s="16" t="s">
        <v>461</v>
      </c>
      <c r="F16" s="16" t="s">
        <v>456</v>
      </c>
      <c r="G16" s="21" t="s">
        <v>50</v>
      </c>
      <c r="H16" s="21" t="s">
        <v>52</v>
      </c>
      <c r="I16" s="20" t="s">
        <v>52</v>
      </c>
      <c r="J16" s="17"/>
      <c r="K16" s="20" t="s">
        <v>44</v>
      </c>
      <c r="L16" s="20" t="s">
        <v>118</v>
      </c>
      <c r="M16" s="20" t="s">
        <v>40</v>
      </c>
      <c r="N16" s="17"/>
      <c r="O16" s="20" t="s">
        <v>81</v>
      </c>
      <c r="P16" s="20" t="s">
        <v>52</v>
      </c>
      <c r="Q16" s="20" t="s">
        <v>108</v>
      </c>
      <c r="R16" s="17"/>
      <c r="S16" s="30" t="str">
        <f>"720,0"</f>
        <v>720,0</v>
      </c>
      <c r="T16" s="17" t="str">
        <f>"415,8000"</f>
        <v>415,8000</v>
      </c>
      <c r="U16" s="16" t="s">
        <v>102</v>
      </c>
    </row>
    <row r="17" spans="1:21">
      <c r="A17" s="19" t="s">
        <v>16</v>
      </c>
      <c r="B17" s="18" t="s">
        <v>115</v>
      </c>
      <c r="C17" s="18" t="s">
        <v>119</v>
      </c>
      <c r="D17" s="18" t="s">
        <v>117</v>
      </c>
      <c r="E17" s="18" t="s">
        <v>465</v>
      </c>
      <c r="F17" s="18" t="s">
        <v>456</v>
      </c>
      <c r="G17" s="23" t="s">
        <v>50</v>
      </c>
      <c r="H17" s="23" t="s">
        <v>52</v>
      </c>
      <c r="I17" s="22" t="s">
        <v>52</v>
      </c>
      <c r="J17" s="19"/>
      <c r="K17" s="22" t="s">
        <v>44</v>
      </c>
      <c r="L17" s="22" t="s">
        <v>118</v>
      </c>
      <c r="M17" s="22" t="s">
        <v>40</v>
      </c>
      <c r="N17" s="19"/>
      <c r="O17" s="22" t="s">
        <v>81</v>
      </c>
      <c r="P17" s="22" t="s">
        <v>52</v>
      </c>
      <c r="Q17" s="22" t="s">
        <v>108</v>
      </c>
      <c r="R17" s="19"/>
      <c r="S17" s="31" t="str">
        <f>"720,0"</f>
        <v>720,0</v>
      </c>
      <c r="T17" s="19" t="str">
        <f>"440,7480"</f>
        <v>440,7480</v>
      </c>
      <c r="U17" s="18" t="s">
        <v>102</v>
      </c>
    </row>
    <row r="18" spans="1:21">
      <c r="B18" s="5" t="s">
        <v>17</v>
      </c>
    </row>
    <row r="19" spans="1:21">
      <c r="B19" s="5" t="s">
        <v>17</v>
      </c>
    </row>
  </sheetData>
  <mergeCells count="17">
    <mergeCell ref="A8:R8"/>
    <mergeCell ref="A12:R12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A881-3A75-4F69-A0A3-B61BDC9EAA65}">
  <dimension ref="A1:U22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8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8" style="5" bestFit="1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29" bestFit="1" customWidth="1"/>
    <col min="20" max="20" width="8.33203125" style="6" bestFit="1" customWidth="1"/>
    <col min="21" max="21" width="17.6640625" style="5" bestFit="1" customWidth="1"/>
    <col min="22" max="16384" width="9.1640625" style="3"/>
  </cols>
  <sheetData>
    <row r="1" spans="1:21" s="2" customFormat="1" ht="29" customHeight="1">
      <c r="A1" s="47" t="s">
        <v>440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33</v>
      </c>
      <c r="H3" s="59"/>
      <c r="I3" s="59"/>
      <c r="J3" s="59"/>
      <c r="K3" s="59" t="s">
        <v>34</v>
      </c>
      <c r="L3" s="59"/>
      <c r="M3" s="59"/>
      <c r="N3" s="59"/>
      <c r="O3" s="59" t="s">
        <v>35</v>
      </c>
      <c r="P3" s="59"/>
      <c r="Q3" s="59"/>
      <c r="R3" s="59"/>
      <c r="S3" s="62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58"/>
      <c r="U4" s="65"/>
    </row>
    <row r="5" spans="1:21" ht="16">
      <c r="A5" s="66" t="s">
        <v>36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8" t="s">
        <v>16</v>
      </c>
      <c r="B6" s="7" t="s">
        <v>37</v>
      </c>
      <c r="C6" s="7" t="s">
        <v>38</v>
      </c>
      <c r="D6" s="7" t="s">
        <v>39</v>
      </c>
      <c r="E6" s="7" t="s">
        <v>463</v>
      </c>
      <c r="F6" s="7" t="s">
        <v>455</v>
      </c>
      <c r="G6" s="14" t="s">
        <v>40</v>
      </c>
      <c r="H6" s="14" t="s">
        <v>41</v>
      </c>
      <c r="I6" s="15" t="s">
        <v>42</v>
      </c>
      <c r="J6" s="8"/>
      <c r="K6" s="14" t="s">
        <v>29</v>
      </c>
      <c r="L6" s="14" t="s">
        <v>43</v>
      </c>
      <c r="M6" s="14" t="s">
        <v>22</v>
      </c>
      <c r="N6" s="8"/>
      <c r="O6" s="15" t="s">
        <v>44</v>
      </c>
      <c r="P6" s="15" t="s">
        <v>44</v>
      </c>
      <c r="Q6" s="14" t="s">
        <v>44</v>
      </c>
      <c r="R6" s="8"/>
      <c r="S6" s="28" t="str">
        <f>"475,0"</f>
        <v>475,0</v>
      </c>
      <c r="T6" s="8" t="str">
        <f>"346,7500"</f>
        <v>346,7500</v>
      </c>
      <c r="U6" s="7" t="s">
        <v>24</v>
      </c>
    </row>
    <row r="7" spans="1:21">
      <c r="B7" s="5" t="s">
        <v>17</v>
      </c>
    </row>
    <row r="8" spans="1:21" ht="16">
      <c r="A8" s="60" t="s">
        <v>45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8" t="s">
        <v>98</v>
      </c>
      <c r="B9" s="7" t="s">
        <v>46</v>
      </c>
      <c r="C9" s="7" t="s">
        <v>47</v>
      </c>
      <c r="D9" s="7" t="s">
        <v>48</v>
      </c>
      <c r="E9" s="7" t="s">
        <v>461</v>
      </c>
      <c r="F9" s="7" t="s">
        <v>49</v>
      </c>
      <c r="G9" s="14" t="s">
        <v>50</v>
      </c>
      <c r="H9" s="15" t="s">
        <v>51</v>
      </c>
      <c r="I9" s="15" t="s">
        <v>52</v>
      </c>
      <c r="J9" s="8"/>
      <c r="K9" s="15" t="s">
        <v>53</v>
      </c>
      <c r="L9" s="15" t="s">
        <v>53</v>
      </c>
      <c r="M9" s="15" t="s">
        <v>53</v>
      </c>
      <c r="N9" s="8"/>
      <c r="O9" s="15"/>
      <c r="P9" s="8"/>
      <c r="Q9" s="8"/>
      <c r="R9" s="8"/>
      <c r="S9" s="28">
        <v>0</v>
      </c>
      <c r="T9" s="8" t="str">
        <f>"0,0000"</f>
        <v>0,0000</v>
      </c>
      <c r="U9" s="7" t="s">
        <v>55</v>
      </c>
    </row>
    <row r="10" spans="1:21">
      <c r="B10" s="5" t="s">
        <v>17</v>
      </c>
    </row>
    <row r="11" spans="1:21" ht="16">
      <c r="A11" s="60" t="s">
        <v>56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17" t="s">
        <v>16</v>
      </c>
      <c r="B12" s="16" t="s">
        <v>57</v>
      </c>
      <c r="C12" s="16" t="s">
        <v>58</v>
      </c>
      <c r="D12" s="16" t="s">
        <v>59</v>
      </c>
      <c r="E12" s="16" t="s">
        <v>461</v>
      </c>
      <c r="F12" s="16" t="s">
        <v>448</v>
      </c>
      <c r="G12" s="20" t="s">
        <v>60</v>
      </c>
      <c r="H12" s="20" t="s">
        <v>61</v>
      </c>
      <c r="I12" s="21" t="s">
        <v>62</v>
      </c>
      <c r="J12" s="17"/>
      <c r="K12" s="21" t="s">
        <v>63</v>
      </c>
      <c r="L12" s="20" t="s">
        <v>64</v>
      </c>
      <c r="M12" s="21" t="s">
        <v>65</v>
      </c>
      <c r="N12" s="17"/>
      <c r="O12" s="21" t="s">
        <v>42</v>
      </c>
      <c r="P12" s="20" t="s">
        <v>66</v>
      </c>
      <c r="Q12" s="20" t="s">
        <v>67</v>
      </c>
      <c r="R12" s="17"/>
      <c r="S12" s="30" t="str">
        <f>"602,5"</f>
        <v>602,5</v>
      </c>
      <c r="T12" s="17" t="str">
        <f>"384,6360"</f>
        <v>384,6360</v>
      </c>
      <c r="U12" s="16" t="s">
        <v>75</v>
      </c>
    </row>
    <row r="13" spans="1:21">
      <c r="A13" s="19" t="s">
        <v>99</v>
      </c>
      <c r="B13" s="18" t="s">
        <v>68</v>
      </c>
      <c r="C13" s="18" t="s">
        <v>69</v>
      </c>
      <c r="D13" s="18" t="s">
        <v>70</v>
      </c>
      <c r="E13" s="18" t="s">
        <v>461</v>
      </c>
      <c r="F13" s="18" t="s">
        <v>448</v>
      </c>
      <c r="G13" s="22" t="s">
        <v>41</v>
      </c>
      <c r="H13" s="22" t="s">
        <v>71</v>
      </c>
      <c r="I13" s="22" t="s">
        <v>66</v>
      </c>
      <c r="J13" s="19"/>
      <c r="K13" s="22" t="s">
        <v>63</v>
      </c>
      <c r="L13" s="22" t="s">
        <v>72</v>
      </c>
      <c r="M13" s="22" t="s">
        <v>64</v>
      </c>
      <c r="N13" s="19"/>
      <c r="O13" s="22" t="s">
        <v>42</v>
      </c>
      <c r="P13" s="22" t="s">
        <v>73</v>
      </c>
      <c r="Q13" s="22" t="s">
        <v>74</v>
      </c>
      <c r="R13" s="19"/>
      <c r="S13" s="31" t="str">
        <f>"600,0"</f>
        <v>600,0</v>
      </c>
      <c r="T13" s="19" t="str">
        <f>"385,2600"</f>
        <v>385,2600</v>
      </c>
      <c r="U13" s="18" t="s">
        <v>75</v>
      </c>
    </row>
    <row r="14" spans="1:21">
      <c r="B14" s="5" t="s">
        <v>17</v>
      </c>
    </row>
    <row r="15" spans="1:21" ht="16">
      <c r="A15" s="60" t="s">
        <v>25</v>
      </c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8" t="s">
        <v>16</v>
      </c>
      <c r="B16" s="7" t="s">
        <v>76</v>
      </c>
      <c r="C16" s="7" t="s">
        <v>77</v>
      </c>
      <c r="D16" s="7" t="s">
        <v>78</v>
      </c>
      <c r="E16" s="7" t="s">
        <v>464</v>
      </c>
      <c r="F16" s="7" t="s">
        <v>79</v>
      </c>
      <c r="G16" s="14" t="s">
        <v>41</v>
      </c>
      <c r="H16" s="14" t="s">
        <v>60</v>
      </c>
      <c r="I16" s="14" t="s">
        <v>42</v>
      </c>
      <c r="J16" s="8"/>
      <c r="K16" s="14" t="s">
        <v>80</v>
      </c>
      <c r="L16" s="14" t="s">
        <v>63</v>
      </c>
      <c r="M16" s="14" t="s">
        <v>72</v>
      </c>
      <c r="N16" s="8"/>
      <c r="O16" s="14" t="s">
        <v>61</v>
      </c>
      <c r="P16" s="14" t="s">
        <v>74</v>
      </c>
      <c r="Q16" s="14" t="s">
        <v>81</v>
      </c>
      <c r="R16" s="8"/>
      <c r="S16" s="28" t="str">
        <f>"590,0"</f>
        <v>590,0</v>
      </c>
      <c r="T16" s="8" t="str">
        <f>"361,6110"</f>
        <v>361,6110</v>
      </c>
      <c r="U16" s="7" t="s">
        <v>82</v>
      </c>
    </row>
    <row r="17" spans="1:21">
      <c r="B17" s="5" t="s">
        <v>17</v>
      </c>
    </row>
    <row r="18" spans="1:21" ht="16">
      <c r="A18" s="60" t="s">
        <v>83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17" t="s">
        <v>16</v>
      </c>
      <c r="B19" s="16" t="s">
        <v>84</v>
      </c>
      <c r="C19" s="16" t="s">
        <v>85</v>
      </c>
      <c r="D19" s="16" t="s">
        <v>86</v>
      </c>
      <c r="E19" s="16" t="s">
        <v>461</v>
      </c>
      <c r="F19" s="16" t="s">
        <v>446</v>
      </c>
      <c r="G19" s="20" t="s">
        <v>50</v>
      </c>
      <c r="H19" s="20" t="s">
        <v>87</v>
      </c>
      <c r="I19" s="20" t="s">
        <v>88</v>
      </c>
      <c r="J19" s="17"/>
      <c r="K19" s="20" t="s">
        <v>44</v>
      </c>
      <c r="L19" s="20" t="s">
        <v>40</v>
      </c>
      <c r="M19" s="20" t="s">
        <v>41</v>
      </c>
      <c r="N19" s="17"/>
      <c r="O19" s="20" t="s">
        <v>50</v>
      </c>
      <c r="P19" s="20" t="s">
        <v>87</v>
      </c>
      <c r="Q19" s="20" t="s">
        <v>88</v>
      </c>
      <c r="R19" s="17"/>
      <c r="S19" s="30" t="str">
        <f>"780,0"</f>
        <v>780,0</v>
      </c>
      <c r="T19" s="17" t="str">
        <f>"444,4440"</f>
        <v>444,4440</v>
      </c>
      <c r="U19" s="16" t="s">
        <v>89</v>
      </c>
    </row>
    <row r="20" spans="1:21">
      <c r="A20" s="19" t="s">
        <v>16</v>
      </c>
      <c r="B20" s="18" t="s">
        <v>84</v>
      </c>
      <c r="C20" s="18" t="s">
        <v>90</v>
      </c>
      <c r="D20" s="18" t="s">
        <v>86</v>
      </c>
      <c r="E20" s="18" t="s">
        <v>465</v>
      </c>
      <c r="F20" s="18" t="s">
        <v>446</v>
      </c>
      <c r="G20" s="22" t="s">
        <v>50</v>
      </c>
      <c r="H20" s="22" t="s">
        <v>87</v>
      </c>
      <c r="I20" s="22" t="s">
        <v>88</v>
      </c>
      <c r="J20" s="19"/>
      <c r="K20" s="22" t="s">
        <v>44</v>
      </c>
      <c r="L20" s="22" t="s">
        <v>40</v>
      </c>
      <c r="M20" s="22" t="s">
        <v>41</v>
      </c>
      <c r="N20" s="19"/>
      <c r="O20" s="22" t="s">
        <v>50</v>
      </c>
      <c r="P20" s="22" t="s">
        <v>87</v>
      </c>
      <c r="Q20" s="22" t="s">
        <v>88</v>
      </c>
      <c r="R20" s="19"/>
      <c r="S20" s="31" t="str">
        <f>"780,0"</f>
        <v>780,0</v>
      </c>
      <c r="T20" s="19" t="str">
        <f>"456,8884"</f>
        <v>456,8884</v>
      </c>
      <c r="U20" s="18" t="s">
        <v>89</v>
      </c>
    </row>
    <row r="21" spans="1:21">
      <c r="B21" s="5" t="s">
        <v>17</v>
      </c>
    </row>
    <row r="22" spans="1:21">
      <c r="B22" s="5" t="s">
        <v>17</v>
      </c>
    </row>
  </sheetData>
  <mergeCells count="18">
    <mergeCell ref="A8:R8"/>
    <mergeCell ref="A11:R11"/>
    <mergeCell ref="A15:R15"/>
    <mergeCell ref="A18:R1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0E11-38C7-4688-88E6-EC872187456C}">
  <dimension ref="A1:Q24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7.1640625" style="5" bestFit="1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5" width="7.6640625" style="6" bestFit="1" customWidth="1"/>
    <col min="16" max="16" width="8.3320312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47" t="s">
        <v>424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35</v>
      </c>
      <c r="L3" s="59"/>
      <c r="M3" s="59"/>
      <c r="N3" s="59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5"/>
    </row>
    <row r="5" spans="1:17" ht="16">
      <c r="A5" s="66" t="s">
        <v>45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17" t="s">
        <v>16</v>
      </c>
      <c r="B6" s="16" t="s">
        <v>222</v>
      </c>
      <c r="C6" s="16" t="s">
        <v>223</v>
      </c>
      <c r="D6" s="16" t="s">
        <v>224</v>
      </c>
      <c r="E6" s="16" t="s">
        <v>461</v>
      </c>
      <c r="F6" s="16" t="s">
        <v>125</v>
      </c>
      <c r="G6" s="20" t="s">
        <v>53</v>
      </c>
      <c r="H6" s="21" t="s">
        <v>134</v>
      </c>
      <c r="I6" s="21" t="s">
        <v>134</v>
      </c>
      <c r="J6" s="17"/>
      <c r="K6" s="20" t="s">
        <v>50</v>
      </c>
      <c r="L6" s="20" t="s">
        <v>52</v>
      </c>
      <c r="M6" s="20" t="s">
        <v>54</v>
      </c>
      <c r="N6" s="17"/>
      <c r="O6" s="17" t="str">
        <f>"420,0"</f>
        <v>420,0</v>
      </c>
      <c r="P6" s="17" t="str">
        <f>"281,3580"</f>
        <v>281,3580</v>
      </c>
      <c r="Q6" s="16" t="s">
        <v>227</v>
      </c>
    </row>
    <row r="7" spans="1:17">
      <c r="A7" s="19" t="s">
        <v>99</v>
      </c>
      <c r="B7" s="18" t="s">
        <v>228</v>
      </c>
      <c r="C7" s="18" t="s">
        <v>229</v>
      </c>
      <c r="D7" s="18" t="s">
        <v>230</v>
      </c>
      <c r="E7" s="18" t="s">
        <v>461</v>
      </c>
      <c r="F7" s="18" t="s">
        <v>125</v>
      </c>
      <c r="G7" s="22" t="s">
        <v>43</v>
      </c>
      <c r="H7" s="22" t="s">
        <v>22</v>
      </c>
      <c r="I7" s="22" t="s">
        <v>232</v>
      </c>
      <c r="J7" s="19"/>
      <c r="K7" s="22" t="s">
        <v>106</v>
      </c>
      <c r="L7" s="22" t="s">
        <v>154</v>
      </c>
      <c r="M7" s="22" t="s">
        <v>44</v>
      </c>
      <c r="N7" s="19"/>
      <c r="O7" s="19" t="str">
        <f>"277,5"</f>
        <v>277,5</v>
      </c>
      <c r="P7" s="19" t="str">
        <f>"187,9785"</f>
        <v>187,9785</v>
      </c>
      <c r="Q7" s="18" t="s">
        <v>452</v>
      </c>
    </row>
    <row r="8" spans="1:17">
      <c r="B8" s="5" t="s">
        <v>17</v>
      </c>
    </row>
    <row r="9" spans="1:17" ht="16">
      <c r="A9" s="60" t="s">
        <v>56</v>
      </c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7">
      <c r="A10" s="8" t="s">
        <v>16</v>
      </c>
      <c r="B10" s="7" t="s">
        <v>234</v>
      </c>
      <c r="C10" s="7" t="s">
        <v>235</v>
      </c>
      <c r="D10" s="7" t="s">
        <v>236</v>
      </c>
      <c r="E10" s="7" t="s">
        <v>463</v>
      </c>
      <c r="F10" s="7" t="s">
        <v>125</v>
      </c>
      <c r="G10" s="14" t="s">
        <v>23</v>
      </c>
      <c r="H10" s="14" t="s">
        <v>238</v>
      </c>
      <c r="I10" s="15" t="s">
        <v>80</v>
      </c>
      <c r="J10" s="8"/>
      <c r="K10" s="14" t="s">
        <v>81</v>
      </c>
      <c r="L10" s="14" t="s">
        <v>50</v>
      </c>
      <c r="M10" s="14" t="s">
        <v>54</v>
      </c>
      <c r="N10" s="8"/>
      <c r="O10" s="8" t="str">
        <f>"390,0"</f>
        <v>390,0</v>
      </c>
      <c r="P10" s="8" t="str">
        <f>"251,9010"</f>
        <v>251,9010</v>
      </c>
      <c r="Q10" s="7" t="s">
        <v>239</v>
      </c>
    </row>
    <row r="11" spans="1:17">
      <c r="B11" s="5" t="s">
        <v>17</v>
      </c>
    </row>
    <row r="12" spans="1:17" ht="16">
      <c r="A12" s="60" t="s">
        <v>25</v>
      </c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7">
      <c r="A13" s="17" t="s">
        <v>16</v>
      </c>
      <c r="B13" s="16" t="s">
        <v>252</v>
      </c>
      <c r="C13" s="16" t="s">
        <v>253</v>
      </c>
      <c r="D13" s="16" t="s">
        <v>254</v>
      </c>
      <c r="E13" s="16" t="s">
        <v>464</v>
      </c>
      <c r="F13" s="16" t="s">
        <v>255</v>
      </c>
      <c r="G13" s="20" t="s">
        <v>134</v>
      </c>
      <c r="H13" s="21" t="s">
        <v>107</v>
      </c>
      <c r="I13" s="20" t="s">
        <v>107</v>
      </c>
      <c r="J13" s="17"/>
      <c r="K13" s="21" t="s">
        <v>81</v>
      </c>
      <c r="L13" s="21" t="s">
        <v>50</v>
      </c>
      <c r="M13" s="20" t="s">
        <v>50</v>
      </c>
      <c r="N13" s="17"/>
      <c r="O13" s="17" t="str">
        <f>"415,0"</f>
        <v>415,0</v>
      </c>
      <c r="P13" s="17" t="str">
        <f>"252,9840"</f>
        <v>252,9840</v>
      </c>
      <c r="Q13" s="16"/>
    </row>
    <row r="14" spans="1:17">
      <c r="A14" s="25" t="s">
        <v>16</v>
      </c>
      <c r="B14" s="24" t="s">
        <v>252</v>
      </c>
      <c r="C14" s="24" t="s">
        <v>256</v>
      </c>
      <c r="D14" s="24" t="s">
        <v>254</v>
      </c>
      <c r="E14" s="24" t="s">
        <v>461</v>
      </c>
      <c r="F14" s="24" t="s">
        <v>255</v>
      </c>
      <c r="G14" s="26" t="s">
        <v>134</v>
      </c>
      <c r="H14" s="27" t="s">
        <v>107</v>
      </c>
      <c r="I14" s="26" t="s">
        <v>107</v>
      </c>
      <c r="J14" s="25"/>
      <c r="K14" s="27" t="s">
        <v>81</v>
      </c>
      <c r="L14" s="27" t="s">
        <v>50</v>
      </c>
      <c r="M14" s="26" t="s">
        <v>50</v>
      </c>
      <c r="N14" s="25"/>
      <c r="O14" s="25" t="str">
        <f>"415,0"</f>
        <v>415,0</v>
      </c>
      <c r="P14" s="25" t="str">
        <f>"252,9840"</f>
        <v>252,9840</v>
      </c>
      <c r="Q14" s="24"/>
    </row>
    <row r="15" spans="1:17">
      <c r="A15" s="19" t="s">
        <v>16</v>
      </c>
      <c r="B15" s="18" t="s">
        <v>103</v>
      </c>
      <c r="C15" s="18" t="s">
        <v>110</v>
      </c>
      <c r="D15" s="18" t="s">
        <v>105</v>
      </c>
      <c r="E15" s="18" t="s">
        <v>465</v>
      </c>
      <c r="F15" s="18" t="s">
        <v>448</v>
      </c>
      <c r="G15" s="22" t="s">
        <v>53</v>
      </c>
      <c r="H15" s="22" t="s">
        <v>106</v>
      </c>
      <c r="I15" s="23" t="s">
        <v>107</v>
      </c>
      <c r="J15" s="19"/>
      <c r="K15" s="22" t="s">
        <v>52</v>
      </c>
      <c r="L15" s="23" t="s">
        <v>108</v>
      </c>
      <c r="M15" s="23" t="s">
        <v>108</v>
      </c>
      <c r="N15" s="19"/>
      <c r="O15" s="19" t="str">
        <f>"420,0"</f>
        <v>420,0</v>
      </c>
      <c r="P15" s="19" t="str">
        <f>"256,1160"</f>
        <v>256,1160</v>
      </c>
      <c r="Q15" s="18" t="s">
        <v>109</v>
      </c>
    </row>
    <row r="16" spans="1:17">
      <c r="B16" s="5" t="s">
        <v>17</v>
      </c>
    </row>
    <row r="17" spans="1:17" ht="16">
      <c r="A17" s="60" t="s">
        <v>111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7">
      <c r="A18" s="17" t="s">
        <v>16</v>
      </c>
      <c r="B18" s="16" t="s">
        <v>112</v>
      </c>
      <c r="C18" s="16" t="s">
        <v>113</v>
      </c>
      <c r="D18" s="16" t="s">
        <v>114</v>
      </c>
      <c r="E18" s="16" t="s">
        <v>461</v>
      </c>
      <c r="F18" s="16" t="s">
        <v>448</v>
      </c>
      <c r="G18" s="20" t="s">
        <v>106</v>
      </c>
      <c r="H18" s="20" t="s">
        <v>44</v>
      </c>
      <c r="I18" s="21" t="s">
        <v>144</v>
      </c>
      <c r="J18" s="17"/>
      <c r="K18" s="20" t="s">
        <v>42</v>
      </c>
      <c r="L18" s="20" t="s">
        <v>61</v>
      </c>
      <c r="M18" s="17"/>
      <c r="N18" s="17"/>
      <c r="O18" s="17" t="str">
        <f>"390,0"</f>
        <v>390,0</v>
      </c>
      <c r="P18" s="17" t="str">
        <f>"230,8410"</f>
        <v>230,8410</v>
      </c>
      <c r="Q18" s="16"/>
    </row>
    <row r="19" spans="1:17">
      <c r="A19" s="19" t="s">
        <v>16</v>
      </c>
      <c r="B19" s="18" t="s">
        <v>112</v>
      </c>
      <c r="C19" s="18" t="s">
        <v>263</v>
      </c>
      <c r="D19" s="18" t="s">
        <v>114</v>
      </c>
      <c r="E19" s="18" t="s">
        <v>465</v>
      </c>
      <c r="F19" s="18" t="s">
        <v>448</v>
      </c>
      <c r="G19" s="22" t="s">
        <v>106</v>
      </c>
      <c r="H19" s="22" t="s">
        <v>44</v>
      </c>
      <c r="I19" s="23" t="s">
        <v>144</v>
      </c>
      <c r="J19" s="19"/>
      <c r="K19" s="22" t="s">
        <v>42</v>
      </c>
      <c r="L19" s="22" t="s">
        <v>61</v>
      </c>
      <c r="M19" s="19"/>
      <c r="N19" s="19"/>
      <c r="O19" s="19" t="str">
        <f>"390,0"</f>
        <v>390,0</v>
      </c>
      <c r="P19" s="19" t="str">
        <f>"248,8466"</f>
        <v>248,8466</v>
      </c>
      <c r="Q19" s="18"/>
    </row>
    <row r="20" spans="1:17">
      <c r="B20" s="5" t="s">
        <v>17</v>
      </c>
    </row>
    <row r="21" spans="1:17" ht="16">
      <c r="A21" s="60" t="s">
        <v>83</v>
      </c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7">
      <c r="A22" s="17" t="s">
        <v>16</v>
      </c>
      <c r="B22" s="16" t="s">
        <v>348</v>
      </c>
      <c r="C22" s="16" t="s">
        <v>349</v>
      </c>
      <c r="D22" s="16" t="s">
        <v>350</v>
      </c>
      <c r="E22" s="16" t="s">
        <v>461</v>
      </c>
      <c r="F22" s="16" t="s">
        <v>255</v>
      </c>
      <c r="G22" s="20" t="s">
        <v>44</v>
      </c>
      <c r="H22" s="20" t="s">
        <v>164</v>
      </c>
      <c r="I22" s="20" t="s">
        <v>40</v>
      </c>
      <c r="J22" s="17"/>
      <c r="K22" s="20" t="s">
        <v>87</v>
      </c>
      <c r="L22" s="21" t="s">
        <v>180</v>
      </c>
      <c r="M22" s="17"/>
      <c r="N22" s="17"/>
      <c r="O22" s="17" t="str">
        <f>"455,0"</f>
        <v>455,0</v>
      </c>
      <c r="P22" s="17" t="str">
        <f>"262,1255"</f>
        <v>262,1255</v>
      </c>
      <c r="Q22" s="16" t="s">
        <v>109</v>
      </c>
    </row>
    <row r="23" spans="1:17">
      <c r="A23" s="19" t="s">
        <v>99</v>
      </c>
      <c r="B23" s="18" t="s">
        <v>264</v>
      </c>
      <c r="C23" s="18" t="s">
        <v>265</v>
      </c>
      <c r="D23" s="18" t="s">
        <v>266</v>
      </c>
      <c r="E23" s="18" t="s">
        <v>461</v>
      </c>
      <c r="F23" s="18" t="s">
        <v>453</v>
      </c>
      <c r="G23" s="22" t="s">
        <v>31</v>
      </c>
      <c r="H23" s="22" t="s">
        <v>23</v>
      </c>
      <c r="I23" s="23" t="s">
        <v>238</v>
      </c>
      <c r="J23" s="19"/>
      <c r="K23" s="22" t="s">
        <v>44</v>
      </c>
      <c r="L23" s="22" t="s">
        <v>247</v>
      </c>
      <c r="M23" s="23" t="s">
        <v>41</v>
      </c>
      <c r="N23" s="19"/>
      <c r="O23" s="19" t="str">
        <f>"310,0"</f>
        <v>310,0</v>
      </c>
      <c r="P23" s="19" t="str">
        <f>"181,2260"</f>
        <v>181,2260</v>
      </c>
      <c r="Q23" s="18" t="s">
        <v>24</v>
      </c>
    </row>
    <row r="24" spans="1:17">
      <c r="B24" s="5" t="s">
        <v>17</v>
      </c>
    </row>
  </sheetData>
  <mergeCells count="17">
    <mergeCell ref="A9:N9"/>
    <mergeCell ref="A12:N12"/>
    <mergeCell ref="A17:N17"/>
    <mergeCell ref="A21:N2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2CC6-D065-43AE-9F0A-DF6E37FD495B}">
  <dimension ref="A1:Q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5.33203125" style="5" bestFit="1" customWidth="1"/>
    <col min="4" max="4" width="21" style="5" bestFit="1" customWidth="1"/>
    <col min="5" max="5" width="10.1640625" style="5" bestFit="1" customWidth="1"/>
    <col min="6" max="6" width="29.1640625" style="5" bestFit="1" customWidth="1"/>
    <col min="7" max="9" width="5.33203125" style="6" customWidth="1"/>
    <col min="10" max="10" width="4.6640625" style="6" customWidth="1"/>
    <col min="11" max="12" width="5.33203125" style="6" customWidth="1"/>
    <col min="13" max="13" width="5.5" style="6" customWidth="1"/>
    <col min="14" max="14" width="4.6640625" style="6" customWidth="1"/>
    <col min="15" max="15" width="7.6640625" style="6" bestFit="1" customWidth="1"/>
    <col min="16" max="16" width="8.33203125" style="6" bestFit="1" customWidth="1"/>
    <col min="17" max="17" width="17.83203125" style="5" customWidth="1"/>
    <col min="18" max="16384" width="9.1640625" style="3"/>
  </cols>
  <sheetData>
    <row r="1" spans="1:17" s="2" customFormat="1" ht="29" customHeight="1">
      <c r="A1" s="47" t="s">
        <v>425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35</v>
      </c>
      <c r="L3" s="59"/>
      <c r="M3" s="59"/>
      <c r="N3" s="59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5"/>
    </row>
    <row r="5" spans="1:17" ht="16">
      <c r="A5" s="66" t="s">
        <v>25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8" t="s">
        <v>16</v>
      </c>
      <c r="B6" s="7" t="s">
        <v>155</v>
      </c>
      <c r="C6" s="7" t="s">
        <v>156</v>
      </c>
      <c r="D6" s="7" t="s">
        <v>157</v>
      </c>
      <c r="E6" s="7" t="s">
        <v>461</v>
      </c>
      <c r="F6" s="7" t="s">
        <v>147</v>
      </c>
      <c r="G6" s="15" t="s">
        <v>158</v>
      </c>
      <c r="H6" s="15" t="s">
        <v>158</v>
      </c>
      <c r="I6" s="14" t="s">
        <v>158</v>
      </c>
      <c r="J6" s="8"/>
      <c r="K6" s="14" t="s">
        <v>52</v>
      </c>
      <c r="L6" s="14" t="s">
        <v>149</v>
      </c>
      <c r="M6" s="8"/>
      <c r="N6" s="8"/>
      <c r="O6" s="8" t="str">
        <f>"480,0"</f>
        <v>480,0</v>
      </c>
      <c r="P6" s="8" t="str">
        <f>"292,4640"</f>
        <v>292,4640</v>
      </c>
      <c r="Q6" s="7" t="s">
        <v>150</v>
      </c>
    </row>
    <row r="7" spans="1:17">
      <c r="B7" s="5" t="s">
        <v>17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AC11-52B2-4C04-AEB3-9F08BB8F1949}">
  <dimension ref="A1:M67"/>
  <sheetViews>
    <sheetView workbookViewId="0">
      <selection activeCell="O46" sqref="O46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6.332031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23.83203125" style="5" bestFit="1" customWidth="1"/>
    <col min="14" max="16384" width="9.1640625" style="3"/>
  </cols>
  <sheetData>
    <row r="1" spans="1:13" s="2" customFormat="1" ht="29" customHeight="1">
      <c r="A1" s="47" t="s">
        <v>433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292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293</v>
      </c>
      <c r="C6" s="7" t="s">
        <v>294</v>
      </c>
      <c r="D6" s="7" t="s">
        <v>295</v>
      </c>
      <c r="E6" s="7" t="s">
        <v>461</v>
      </c>
      <c r="F6" s="7" t="s">
        <v>125</v>
      </c>
      <c r="G6" s="14" t="s">
        <v>28</v>
      </c>
      <c r="H6" s="14" t="s">
        <v>296</v>
      </c>
      <c r="I6" s="15" t="s">
        <v>198</v>
      </c>
      <c r="J6" s="8"/>
      <c r="K6" s="8" t="str">
        <f>"52,5"</f>
        <v>52,5</v>
      </c>
      <c r="L6" s="8" t="str">
        <f>"70,1767"</f>
        <v>70,1767</v>
      </c>
      <c r="M6" s="7"/>
    </row>
    <row r="7" spans="1:13">
      <c r="B7" s="5" t="s">
        <v>17</v>
      </c>
    </row>
    <row r="8" spans="1:13" ht="16">
      <c r="A8" s="60" t="s">
        <v>36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16</v>
      </c>
      <c r="B9" s="7" t="s">
        <v>188</v>
      </c>
      <c r="C9" s="7" t="s">
        <v>189</v>
      </c>
      <c r="D9" s="7" t="s">
        <v>190</v>
      </c>
      <c r="E9" s="7" t="s">
        <v>461</v>
      </c>
      <c r="F9" s="7" t="s">
        <v>125</v>
      </c>
      <c r="G9" s="14" t="s">
        <v>28</v>
      </c>
      <c r="H9" s="14" t="s">
        <v>126</v>
      </c>
      <c r="I9" s="14" t="s">
        <v>162</v>
      </c>
      <c r="J9" s="8"/>
      <c r="K9" s="8" t="str">
        <f>"65,0"</f>
        <v>65,0</v>
      </c>
      <c r="L9" s="8" t="str">
        <f>"62,4260"</f>
        <v>62,4260</v>
      </c>
      <c r="M9" s="7" t="s">
        <v>192</v>
      </c>
    </row>
    <row r="10" spans="1:13">
      <c r="B10" s="5" t="s">
        <v>17</v>
      </c>
    </row>
    <row r="11" spans="1:13" ht="16">
      <c r="A11" s="60" t="s">
        <v>205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32" t="s">
        <v>16</v>
      </c>
      <c r="B12" s="40" t="s">
        <v>206</v>
      </c>
      <c r="C12" s="40" t="s">
        <v>207</v>
      </c>
      <c r="D12" s="16" t="s">
        <v>208</v>
      </c>
      <c r="E12" s="33" t="s">
        <v>462</v>
      </c>
      <c r="F12" s="16" t="s">
        <v>125</v>
      </c>
      <c r="G12" s="34" t="s">
        <v>209</v>
      </c>
      <c r="H12" s="44" t="s">
        <v>210</v>
      </c>
      <c r="I12" s="21" t="s">
        <v>21</v>
      </c>
      <c r="J12" s="42"/>
      <c r="K12" s="42" t="str">
        <f>"77,5"</f>
        <v>77,5</v>
      </c>
      <c r="L12" s="42" t="str">
        <f>"68,2155"</f>
        <v>68,2155</v>
      </c>
      <c r="M12" s="35" t="s">
        <v>109</v>
      </c>
    </row>
    <row r="13" spans="1:13">
      <c r="A13" s="36" t="s">
        <v>99</v>
      </c>
      <c r="B13" s="41" t="s">
        <v>297</v>
      </c>
      <c r="C13" s="41" t="s">
        <v>298</v>
      </c>
      <c r="D13" s="18" t="s">
        <v>299</v>
      </c>
      <c r="E13" s="37" t="s">
        <v>462</v>
      </c>
      <c r="F13" s="18" t="s">
        <v>300</v>
      </c>
      <c r="G13" s="38" t="s">
        <v>30</v>
      </c>
      <c r="H13" s="45" t="s">
        <v>28</v>
      </c>
      <c r="I13" s="22" t="s">
        <v>126</v>
      </c>
      <c r="J13" s="43"/>
      <c r="K13" s="43" t="str">
        <f>"60,0"</f>
        <v>60,0</v>
      </c>
      <c r="L13" s="43" t="str">
        <f>"67,3260"</f>
        <v>67,3260</v>
      </c>
      <c r="M13" s="39"/>
    </row>
    <row r="14" spans="1:13">
      <c r="B14" s="5" t="s">
        <v>17</v>
      </c>
    </row>
    <row r="15" spans="1:13" ht="16">
      <c r="A15" s="60" t="s">
        <v>36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17" t="s">
        <v>16</v>
      </c>
      <c r="B16" s="16" t="s">
        <v>301</v>
      </c>
      <c r="C16" s="16" t="s">
        <v>302</v>
      </c>
      <c r="D16" s="16" t="s">
        <v>19</v>
      </c>
      <c r="E16" s="16" t="s">
        <v>462</v>
      </c>
      <c r="F16" s="16" t="s">
        <v>125</v>
      </c>
      <c r="G16" s="20" t="s">
        <v>31</v>
      </c>
      <c r="H16" s="21" t="s">
        <v>303</v>
      </c>
      <c r="I16" s="21" t="s">
        <v>303</v>
      </c>
      <c r="J16" s="17"/>
      <c r="K16" s="17" t="str">
        <f>"110,0"</f>
        <v>110,0</v>
      </c>
      <c r="L16" s="17" t="str">
        <f>"78,3860"</f>
        <v>78,3860</v>
      </c>
      <c r="M16" s="16"/>
    </row>
    <row r="17" spans="1:13">
      <c r="A17" s="25" t="s">
        <v>99</v>
      </c>
      <c r="B17" s="24" t="s">
        <v>304</v>
      </c>
      <c r="C17" s="24" t="s">
        <v>305</v>
      </c>
      <c r="D17" s="24" t="s">
        <v>306</v>
      </c>
      <c r="E17" s="24" t="s">
        <v>462</v>
      </c>
      <c r="F17" s="24" t="s">
        <v>125</v>
      </c>
      <c r="G17" s="26" t="s">
        <v>29</v>
      </c>
      <c r="H17" s="26" t="s">
        <v>128</v>
      </c>
      <c r="I17" s="27" t="s">
        <v>137</v>
      </c>
      <c r="J17" s="25"/>
      <c r="K17" s="25" t="str">
        <f>"95,0"</f>
        <v>95,0</v>
      </c>
      <c r="L17" s="25" t="str">
        <f>"68,3335"</f>
        <v>68,3335</v>
      </c>
      <c r="M17" s="24" t="s">
        <v>307</v>
      </c>
    </row>
    <row r="18" spans="1:13">
      <c r="A18" s="25" t="s">
        <v>187</v>
      </c>
      <c r="B18" s="24" t="s">
        <v>308</v>
      </c>
      <c r="C18" s="24" t="s">
        <v>309</v>
      </c>
      <c r="D18" s="24" t="s">
        <v>310</v>
      </c>
      <c r="E18" s="24" t="s">
        <v>462</v>
      </c>
      <c r="F18" s="24" t="s">
        <v>300</v>
      </c>
      <c r="G18" s="26" t="s">
        <v>28</v>
      </c>
      <c r="H18" s="26" t="s">
        <v>126</v>
      </c>
      <c r="I18" s="27" t="s">
        <v>163</v>
      </c>
      <c r="J18" s="25"/>
      <c r="K18" s="25" t="str">
        <f>"60,0"</f>
        <v>60,0</v>
      </c>
      <c r="L18" s="25" t="str">
        <f>"44,4360"</f>
        <v>44,4360</v>
      </c>
      <c r="M18" s="24"/>
    </row>
    <row r="19" spans="1:13">
      <c r="A19" s="25" t="s">
        <v>16</v>
      </c>
      <c r="B19" s="24" t="s">
        <v>311</v>
      </c>
      <c r="C19" s="24" t="s">
        <v>312</v>
      </c>
      <c r="D19" s="24" t="s">
        <v>310</v>
      </c>
      <c r="E19" s="24" t="s">
        <v>463</v>
      </c>
      <c r="F19" s="24" t="s">
        <v>313</v>
      </c>
      <c r="G19" s="26" t="s">
        <v>191</v>
      </c>
      <c r="H19" s="27" t="s">
        <v>303</v>
      </c>
      <c r="I19" s="26" t="s">
        <v>303</v>
      </c>
      <c r="J19" s="25"/>
      <c r="K19" s="25" t="str">
        <f>"117,5"</f>
        <v>117,5</v>
      </c>
      <c r="L19" s="25" t="str">
        <f>"87,0205"</f>
        <v>87,0205</v>
      </c>
      <c r="M19" s="24" t="s">
        <v>314</v>
      </c>
    </row>
    <row r="20" spans="1:13">
      <c r="A20" s="25" t="s">
        <v>16</v>
      </c>
      <c r="B20" s="24" t="s">
        <v>315</v>
      </c>
      <c r="C20" s="24" t="s">
        <v>316</v>
      </c>
      <c r="D20" s="24" t="s">
        <v>306</v>
      </c>
      <c r="E20" s="24" t="s">
        <v>464</v>
      </c>
      <c r="F20" s="24" t="s">
        <v>446</v>
      </c>
      <c r="G20" s="27" t="s">
        <v>63</v>
      </c>
      <c r="H20" s="26" t="s">
        <v>64</v>
      </c>
      <c r="I20" s="27" t="s">
        <v>53</v>
      </c>
      <c r="J20" s="25"/>
      <c r="K20" s="25" t="str">
        <f>"145,0"</f>
        <v>145,0</v>
      </c>
      <c r="L20" s="25" t="str">
        <f>"104,2985"</f>
        <v>104,2985</v>
      </c>
      <c r="M20" s="24"/>
    </row>
    <row r="21" spans="1:13">
      <c r="A21" s="19" t="s">
        <v>16</v>
      </c>
      <c r="B21" s="18" t="s">
        <v>317</v>
      </c>
      <c r="C21" s="18" t="s">
        <v>318</v>
      </c>
      <c r="D21" s="18" t="s">
        <v>19</v>
      </c>
      <c r="E21" s="18" t="s">
        <v>461</v>
      </c>
      <c r="F21" s="18" t="s">
        <v>447</v>
      </c>
      <c r="G21" s="22" t="s">
        <v>23</v>
      </c>
      <c r="H21" s="22" t="s">
        <v>211</v>
      </c>
      <c r="I21" s="23" t="s">
        <v>63</v>
      </c>
      <c r="J21" s="19"/>
      <c r="K21" s="19" t="str">
        <f>"127,5"</f>
        <v>127,5</v>
      </c>
      <c r="L21" s="19" t="str">
        <f>"90,8565"</f>
        <v>90,8565</v>
      </c>
      <c r="M21" s="18" t="s">
        <v>319</v>
      </c>
    </row>
    <row r="22" spans="1:13">
      <c r="B22" s="5" t="s">
        <v>17</v>
      </c>
    </row>
    <row r="23" spans="1:13" ht="16">
      <c r="A23" s="60" t="s">
        <v>45</v>
      </c>
      <c r="B23" s="60"/>
      <c r="C23" s="61"/>
      <c r="D23" s="61"/>
      <c r="E23" s="61"/>
      <c r="F23" s="61"/>
      <c r="G23" s="61"/>
      <c r="H23" s="61"/>
      <c r="I23" s="61"/>
      <c r="J23" s="61"/>
    </row>
    <row r="24" spans="1:13">
      <c r="A24" s="17" t="s">
        <v>16</v>
      </c>
      <c r="B24" s="16" t="s">
        <v>320</v>
      </c>
      <c r="C24" s="16" t="s">
        <v>321</v>
      </c>
      <c r="D24" s="16" t="s">
        <v>322</v>
      </c>
      <c r="E24" s="16" t="s">
        <v>464</v>
      </c>
      <c r="F24" s="16" t="s">
        <v>197</v>
      </c>
      <c r="G24" s="21" t="s">
        <v>80</v>
      </c>
      <c r="H24" s="20" t="s">
        <v>80</v>
      </c>
      <c r="I24" s="20" t="s">
        <v>64</v>
      </c>
      <c r="J24" s="17"/>
      <c r="K24" s="17" t="str">
        <f>"145,0"</f>
        <v>145,0</v>
      </c>
      <c r="L24" s="17" t="str">
        <f>"97,9330"</f>
        <v>97,9330</v>
      </c>
      <c r="M24" s="16" t="s">
        <v>323</v>
      </c>
    </row>
    <row r="25" spans="1:13">
      <c r="A25" s="25" t="s">
        <v>16</v>
      </c>
      <c r="B25" s="24" t="s">
        <v>320</v>
      </c>
      <c r="C25" s="24" t="s">
        <v>324</v>
      </c>
      <c r="D25" s="24" t="s">
        <v>322</v>
      </c>
      <c r="E25" s="24" t="s">
        <v>461</v>
      </c>
      <c r="F25" s="24" t="s">
        <v>197</v>
      </c>
      <c r="G25" s="27" t="s">
        <v>80</v>
      </c>
      <c r="H25" s="26" t="s">
        <v>80</v>
      </c>
      <c r="I25" s="26" t="s">
        <v>64</v>
      </c>
      <c r="J25" s="25"/>
      <c r="K25" s="25" t="str">
        <f>"145,0"</f>
        <v>145,0</v>
      </c>
      <c r="L25" s="25" t="str">
        <f>"97,9330"</f>
        <v>97,9330</v>
      </c>
      <c r="M25" s="24" t="s">
        <v>323</v>
      </c>
    </row>
    <row r="26" spans="1:13">
      <c r="A26" s="19" t="s">
        <v>99</v>
      </c>
      <c r="B26" s="18" t="s">
        <v>325</v>
      </c>
      <c r="C26" s="18" t="s">
        <v>326</v>
      </c>
      <c r="D26" s="18" t="s">
        <v>327</v>
      </c>
      <c r="E26" s="18" t="s">
        <v>461</v>
      </c>
      <c r="F26" s="18" t="s">
        <v>125</v>
      </c>
      <c r="G26" s="22" t="s">
        <v>80</v>
      </c>
      <c r="H26" s="23" t="s">
        <v>72</v>
      </c>
      <c r="I26" s="23" t="s">
        <v>72</v>
      </c>
      <c r="J26" s="19"/>
      <c r="K26" s="19" t="str">
        <f>"130,0"</f>
        <v>130,0</v>
      </c>
      <c r="L26" s="19" t="str">
        <f>"87,4120"</f>
        <v>87,4120</v>
      </c>
      <c r="M26" s="18"/>
    </row>
    <row r="27" spans="1:13">
      <c r="B27" s="5" t="s">
        <v>17</v>
      </c>
    </row>
    <row r="28" spans="1:13" ht="16">
      <c r="A28" s="60" t="s">
        <v>56</v>
      </c>
      <c r="B28" s="60"/>
      <c r="C28" s="61"/>
      <c r="D28" s="61"/>
      <c r="E28" s="61"/>
      <c r="F28" s="61"/>
      <c r="G28" s="61"/>
      <c r="H28" s="61"/>
      <c r="I28" s="61"/>
      <c r="J28" s="61"/>
    </row>
    <row r="29" spans="1:13">
      <c r="A29" s="17" t="s">
        <v>16</v>
      </c>
      <c r="B29" s="16" t="s">
        <v>328</v>
      </c>
      <c r="C29" s="16" t="s">
        <v>329</v>
      </c>
      <c r="D29" s="16" t="s">
        <v>59</v>
      </c>
      <c r="E29" s="16" t="s">
        <v>461</v>
      </c>
      <c r="F29" s="16" t="s">
        <v>447</v>
      </c>
      <c r="G29" s="20" t="s">
        <v>53</v>
      </c>
      <c r="H29" s="20" t="s">
        <v>107</v>
      </c>
      <c r="I29" s="21" t="s">
        <v>44</v>
      </c>
      <c r="J29" s="17"/>
      <c r="K29" s="17" t="str">
        <f>"165,0"</f>
        <v>165,0</v>
      </c>
      <c r="L29" s="17" t="str">
        <f>"105,3360"</f>
        <v>105,3360</v>
      </c>
      <c r="M29" s="16" t="s">
        <v>319</v>
      </c>
    </row>
    <row r="30" spans="1:13">
      <c r="A30" s="25" t="s">
        <v>99</v>
      </c>
      <c r="B30" s="24" t="s">
        <v>330</v>
      </c>
      <c r="C30" s="24" t="s">
        <v>331</v>
      </c>
      <c r="D30" s="24" t="s">
        <v>332</v>
      </c>
      <c r="E30" s="24" t="s">
        <v>461</v>
      </c>
      <c r="F30" s="24" t="s">
        <v>446</v>
      </c>
      <c r="G30" s="26" t="s">
        <v>72</v>
      </c>
      <c r="H30" s="26" t="s">
        <v>65</v>
      </c>
      <c r="I30" s="26" t="s">
        <v>53</v>
      </c>
      <c r="J30" s="25"/>
      <c r="K30" s="25" t="str">
        <f>"155,0"</f>
        <v>155,0</v>
      </c>
      <c r="L30" s="25" t="str">
        <f>"101,4475"</f>
        <v>101,4475</v>
      </c>
      <c r="M30" s="24" t="s">
        <v>333</v>
      </c>
    </row>
    <row r="31" spans="1:13">
      <c r="A31" s="25" t="s">
        <v>187</v>
      </c>
      <c r="B31" s="24" t="s">
        <v>334</v>
      </c>
      <c r="C31" s="24" t="s">
        <v>335</v>
      </c>
      <c r="D31" s="24" t="s">
        <v>336</v>
      </c>
      <c r="E31" s="24" t="s">
        <v>461</v>
      </c>
      <c r="F31" s="24" t="s">
        <v>446</v>
      </c>
      <c r="G31" s="26" t="s">
        <v>72</v>
      </c>
      <c r="H31" s="27" t="s">
        <v>65</v>
      </c>
      <c r="I31" s="27" t="s">
        <v>65</v>
      </c>
      <c r="J31" s="25"/>
      <c r="K31" s="25" t="str">
        <f>"140,0"</f>
        <v>140,0</v>
      </c>
      <c r="L31" s="25" t="str">
        <f>"90,3700"</f>
        <v>90,3700</v>
      </c>
      <c r="M31" s="24" t="s">
        <v>333</v>
      </c>
    </row>
    <row r="32" spans="1:13">
      <c r="A32" s="25" t="s">
        <v>363</v>
      </c>
      <c r="B32" s="24" t="s">
        <v>337</v>
      </c>
      <c r="C32" s="24" t="s">
        <v>338</v>
      </c>
      <c r="D32" s="24" t="s">
        <v>59</v>
      </c>
      <c r="E32" s="24" t="s">
        <v>461</v>
      </c>
      <c r="F32" s="24" t="s">
        <v>449</v>
      </c>
      <c r="G32" s="26" t="s">
        <v>72</v>
      </c>
      <c r="H32" s="27" t="s">
        <v>143</v>
      </c>
      <c r="I32" s="27" t="s">
        <v>65</v>
      </c>
      <c r="J32" s="25"/>
      <c r="K32" s="25" t="str">
        <f>"140,0"</f>
        <v>140,0</v>
      </c>
      <c r="L32" s="25" t="str">
        <f>"89,3760"</f>
        <v>89,3760</v>
      </c>
      <c r="M32" s="24" t="s">
        <v>102</v>
      </c>
    </row>
    <row r="33" spans="1:13">
      <c r="A33" s="19" t="s">
        <v>364</v>
      </c>
      <c r="B33" s="18" t="s">
        <v>339</v>
      </c>
      <c r="C33" s="18" t="s">
        <v>340</v>
      </c>
      <c r="D33" s="18" t="s">
        <v>59</v>
      </c>
      <c r="E33" s="18" t="s">
        <v>461</v>
      </c>
      <c r="F33" s="18" t="s">
        <v>449</v>
      </c>
      <c r="G33" s="22" t="s">
        <v>23</v>
      </c>
      <c r="H33" s="23" t="s">
        <v>80</v>
      </c>
      <c r="I33" s="23" t="s">
        <v>72</v>
      </c>
      <c r="J33" s="19"/>
      <c r="K33" s="19" t="str">
        <f>"120,0"</f>
        <v>120,0</v>
      </c>
      <c r="L33" s="19" t="str">
        <f>"76,6080"</f>
        <v>76,6080</v>
      </c>
      <c r="M33" s="18" t="s">
        <v>102</v>
      </c>
    </row>
    <row r="34" spans="1:13">
      <c r="B34" s="5" t="s">
        <v>17</v>
      </c>
    </row>
    <row r="35" spans="1:13" ht="16">
      <c r="A35" s="60" t="s">
        <v>25</v>
      </c>
      <c r="B35" s="60"/>
      <c r="C35" s="61"/>
      <c r="D35" s="61"/>
      <c r="E35" s="61"/>
      <c r="F35" s="61"/>
      <c r="G35" s="61"/>
      <c r="H35" s="61"/>
      <c r="I35" s="61"/>
      <c r="J35" s="61"/>
    </row>
    <row r="36" spans="1:13">
      <c r="A36" s="17" t="s">
        <v>16</v>
      </c>
      <c r="B36" s="16" t="s">
        <v>341</v>
      </c>
      <c r="C36" s="16" t="s">
        <v>342</v>
      </c>
      <c r="D36" s="16" t="s">
        <v>343</v>
      </c>
      <c r="E36" s="16" t="s">
        <v>462</v>
      </c>
      <c r="F36" s="16" t="s">
        <v>300</v>
      </c>
      <c r="G36" s="20" t="s">
        <v>43</v>
      </c>
      <c r="H36" s="20" t="s">
        <v>31</v>
      </c>
      <c r="I36" s="20" t="s">
        <v>191</v>
      </c>
      <c r="J36" s="17"/>
      <c r="K36" s="17" t="str">
        <f>"115,0"</f>
        <v>115,0</v>
      </c>
      <c r="L36" s="17" t="str">
        <f>"71,4035"</f>
        <v>71,4035</v>
      </c>
      <c r="M36" s="16"/>
    </row>
    <row r="37" spans="1:13">
      <c r="A37" s="25" t="s">
        <v>16</v>
      </c>
      <c r="B37" s="24" t="s">
        <v>252</v>
      </c>
      <c r="C37" s="24" t="s">
        <v>253</v>
      </c>
      <c r="D37" s="24" t="s">
        <v>254</v>
      </c>
      <c r="E37" s="24" t="s">
        <v>464</v>
      </c>
      <c r="F37" s="24" t="s">
        <v>255</v>
      </c>
      <c r="G37" s="26" t="s">
        <v>134</v>
      </c>
      <c r="H37" s="27" t="s">
        <v>107</v>
      </c>
      <c r="I37" s="26" t="s">
        <v>107</v>
      </c>
      <c r="J37" s="25"/>
      <c r="K37" s="25" t="str">
        <f>"165,0"</f>
        <v>165,0</v>
      </c>
      <c r="L37" s="25" t="str">
        <f>"100,5840"</f>
        <v>100,5840</v>
      </c>
      <c r="M37" s="24"/>
    </row>
    <row r="38" spans="1:13">
      <c r="A38" s="19" t="s">
        <v>16</v>
      </c>
      <c r="B38" s="18" t="s">
        <v>252</v>
      </c>
      <c r="C38" s="18" t="s">
        <v>256</v>
      </c>
      <c r="D38" s="18" t="s">
        <v>254</v>
      </c>
      <c r="E38" s="18" t="s">
        <v>461</v>
      </c>
      <c r="F38" s="18" t="s">
        <v>255</v>
      </c>
      <c r="G38" s="22" t="s">
        <v>134</v>
      </c>
      <c r="H38" s="23" t="s">
        <v>107</v>
      </c>
      <c r="I38" s="22" t="s">
        <v>107</v>
      </c>
      <c r="J38" s="19"/>
      <c r="K38" s="19" t="str">
        <f>"165,0"</f>
        <v>165,0</v>
      </c>
      <c r="L38" s="19" t="str">
        <f>"100,5840"</f>
        <v>100,5840</v>
      </c>
      <c r="M38" s="18"/>
    </row>
    <row r="39" spans="1:13">
      <c r="B39" s="5" t="s">
        <v>17</v>
      </c>
    </row>
    <row r="40" spans="1:13" ht="16">
      <c r="A40" s="60" t="s">
        <v>111</v>
      </c>
      <c r="B40" s="60"/>
      <c r="C40" s="61"/>
      <c r="D40" s="61"/>
      <c r="E40" s="61"/>
      <c r="F40" s="61"/>
      <c r="G40" s="61"/>
      <c r="H40" s="61"/>
      <c r="I40" s="61"/>
      <c r="J40" s="61"/>
    </row>
    <row r="41" spans="1:13">
      <c r="A41" s="17" t="s">
        <v>16</v>
      </c>
      <c r="B41" s="16" t="s">
        <v>7</v>
      </c>
      <c r="C41" s="16" t="s">
        <v>344</v>
      </c>
      <c r="D41" s="16" t="s">
        <v>8</v>
      </c>
      <c r="E41" s="16" t="s">
        <v>463</v>
      </c>
      <c r="F41" s="16" t="s">
        <v>446</v>
      </c>
      <c r="G41" s="20" t="s">
        <v>72</v>
      </c>
      <c r="H41" s="20" t="s">
        <v>143</v>
      </c>
      <c r="I41" s="21" t="s">
        <v>106</v>
      </c>
      <c r="J41" s="17"/>
      <c r="K41" s="17" t="str">
        <f>"150,0"</f>
        <v>150,0</v>
      </c>
      <c r="L41" s="17" t="str">
        <f>"88,5000"</f>
        <v>88,5000</v>
      </c>
      <c r="M41" s="16"/>
    </row>
    <row r="42" spans="1:13">
      <c r="A42" s="25" t="s">
        <v>16</v>
      </c>
      <c r="B42" s="24" t="s">
        <v>261</v>
      </c>
      <c r="C42" s="24" t="s">
        <v>262</v>
      </c>
      <c r="D42" s="24" t="s">
        <v>167</v>
      </c>
      <c r="E42" s="24" t="s">
        <v>461</v>
      </c>
      <c r="F42" s="24" t="s">
        <v>449</v>
      </c>
      <c r="G42" s="26" t="s">
        <v>44</v>
      </c>
      <c r="H42" s="26" t="s">
        <v>144</v>
      </c>
      <c r="I42" s="26" t="s">
        <v>164</v>
      </c>
      <c r="J42" s="25"/>
      <c r="K42" s="25" t="str">
        <f>"180,0"</f>
        <v>180,0</v>
      </c>
      <c r="L42" s="25" t="str">
        <f>"105,9300"</f>
        <v>105,9300</v>
      </c>
      <c r="M42" s="24" t="s">
        <v>102</v>
      </c>
    </row>
    <row r="43" spans="1:13">
      <c r="A43" s="25" t="s">
        <v>99</v>
      </c>
      <c r="B43" s="24" t="s">
        <v>112</v>
      </c>
      <c r="C43" s="24" t="s">
        <v>113</v>
      </c>
      <c r="D43" s="24" t="s">
        <v>114</v>
      </c>
      <c r="E43" s="24" t="s">
        <v>461</v>
      </c>
      <c r="F43" s="24" t="s">
        <v>448</v>
      </c>
      <c r="G43" s="26" t="s">
        <v>106</v>
      </c>
      <c r="H43" s="26" t="s">
        <v>44</v>
      </c>
      <c r="I43" s="27" t="s">
        <v>144</v>
      </c>
      <c r="J43" s="25"/>
      <c r="K43" s="25" t="str">
        <f>"170,0"</f>
        <v>170,0</v>
      </c>
      <c r="L43" s="25" t="str">
        <f>"100,6230"</f>
        <v>100,6230</v>
      </c>
      <c r="M43" s="24"/>
    </row>
    <row r="44" spans="1:13">
      <c r="A44" s="19" t="s">
        <v>16</v>
      </c>
      <c r="B44" s="18" t="s">
        <v>112</v>
      </c>
      <c r="C44" s="18" t="s">
        <v>263</v>
      </c>
      <c r="D44" s="18" t="s">
        <v>114</v>
      </c>
      <c r="E44" s="18" t="s">
        <v>465</v>
      </c>
      <c r="F44" s="18" t="s">
        <v>448</v>
      </c>
      <c r="G44" s="22" t="s">
        <v>106</v>
      </c>
      <c r="H44" s="22" t="s">
        <v>44</v>
      </c>
      <c r="I44" s="23" t="s">
        <v>144</v>
      </c>
      <c r="J44" s="19"/>
      <c r="K44" s="19" t="str">
        <f>"170,0"</f>
        <v>170,0</v>
      </c>
      <c r="L44" s="19" t="str">
        <f>"108,4716"</f>
        <v>108,4716</v>
      </c>
      <c r="M44" s="18"/>
    </row>
    <row r="45" spans="1:13">
      <c r="B45" s="5" t="s">
        <v>17</v>
      </c>
    </row>
    <row r="46" spans="1:13" ht="16">
      <c r="A46" s="60" t="s">
        <v>83</v>
      </c>
      <c r="B46" s="60"/>
      <c r="C46" s="61"/>
      <c r="D46" s="61"/>
      <c r="E46" s="61"/>
      <c r="F46" s="61"/>
      <c r="G46" s="61"/>
      <c r="H46" s="61"/>
      <c r="I46" s="61"/>
      <c r="J46" s="61"/>
    </row>
    <row r="47" spans="1:13">
      <c r="A47" s="17" t="s">
        <v>16</v>
      </c>
      <c r="B47" s="16" t="s">
        <v>345</v>
      </c>
      <c r="C47" s="16" t="s">
        <v>346</v>
      </c>
      <c r="D47" s="16" t="s">
        <v>347</v>
      </c>
      <c r="E47" s="16" t="s">
        <v>461</v>
      </c>
      <c r="F47" s="16" t="s">
        <v>125</v>
      </c>
      <c r="G47" s="20" t="s">
        <v>107</v>
      </c>
      <c r="H47" s="20" t="s">
        <v>118</v>
      </c>
      <c r="I47" s="20" t="s">
        <v>40</v>
      </c>
      <c r="J47" s="17"/>
      <c r="K47" s="17" t="str">
        <f>"185,0"</f>
        <v>185,0</v>
      </c>
      <c r="L47" s="17" t="str">
        <f>"107,2075"</f>
        <v>107,2075</v>
      </c>
      <c r="M47" s="16"/>
    </row>
    <row r="48" spans="1:13">
      <c r="A48" s="25" t="s">
        <v>99</v>
      </c>
      <c r="B48" s="24" t="s">
        <v>348</v>
      </c>
      <c r="C48" s="24" t="s">
        <v>349</v>
      </c>
      <c r="D48" s="24" t="s">
        <v>350</v>
      </c>
      <c r="E48" s="24" t="s">
        <v>461</v>
      </c>
      <c r="F48" s="24" t="s">
        <v>255</v>
      </c>
      <c r="G48" s="26" t="s">
        <v>44</v>
      </c>
      <c r="H48" s="26" t="s">
        <v>164</v>
      </c>
      <c r="I48" s="26" t="s">
        <v>40</v>
      </c>
      <c r="J48" s="25"/>
      <c r="K48" s="25" t="str">
        <f>"185,0"</f>
        <v>185,0</v>
      </c>
      <c r="L48" s="25" t="str">
        <f>"106,5785"</f>
        <v>106,5785</v>
      </c>
      <c r="M48" s="24" t="s">
        <v>109</v>
      </c>
    </row>
    <row r="49" spans="1:13">
      <c r="A49" s="25" t="s">
        <v>187</v>
      </c>
      <c r="B49" s="24" t="s">
        <v>351</v>
      </c>
      <c r="C49" s="24" t="s">
        <v>352</v>
      </c>
      <c r="D49" s="24" t="s">
        <v>86</v>
      </c>
      <c r="E49" s="24" t="s">
        <v>461</v>
      </c>
      <c r="F49" s="24" t="s">
        <v>353</v>
      </c>
      <c r="G49" s="26" t="s">
        <v>144</v>
      </c>
      <c r="H49" s="26" t="s">
        <v>164</v>
      </c>
      <c r="I49" s="27" t="s">
        <v>40</v>
      </c>
      <c r="J49" s="25"/>
      <c r="K49" s="25" t="str">
        <f>"180,0"</f>
        <v>180,0</v>
      </c>
      <c r="L49" s="25" t="str">
        <f>"102,5640"</f>
        <v>102,5640</v>
      </c>
      <c r="M49" s="24"/>
    </row>
    <row r="50" spans="1:13">
      <c r="A50" s="25" t="s">
        <v>16</v>
      </c>
      <c r="B50" s="24" t="s">
        <v>354</v>
      </c>
      <c r="C50" s="24" t="s">
        <v>355</v>
      </c>
      <c r="D50" s="24" t="s">
        <v>356</v>
      </c>
      <c r="E50" s="24" t="s">
        <v>465</v>
      </c>
      <c r="F50" s="24" t="s">
        <v>447</v>
      </c>
      <c r="G50" s="27" t="s">
        <v>164</v>
      </c>
      <c r="H50" s="26" t="s">
        <v>40</v>
      </c>
      <c r="I50" s="26" t="s">
        <v>138</v>
      </c>
      <c r="J50" s="25"/>
      <c r="K50" s="25" t="str">
        <f>"192,5"</f>
        <v>192,5</v>
      </c>
      <c r="L50" s="25" t="str">
        <f>"113,0374"</f>
        <v>113,0374</v>
      </c>
      <c r="M50" s="24" t="s">
        <v>420</v>
      </c>
    </row>
    <row r="51" spans="1:13">
      <c r="A51" s="19" t="s">
        <v>99</v>
      </c>
      <c r="B51" s="18" t="s">
        <v>115</v>
      </c>
      <c r="C51" s="18" t="s">
        <v>119</v>
      </c>
      <c r="D51" s="18" t="s">
        <v>117</v>
      </c>
      <c r="E51" s="18" t="s">
        <v>465</v>
      </c>
      <c r="F51" s="18" t="s">
        <v>456</v>
      </c>
      <c r="G51" s="22" t="s">
        <v>44</v>
      </c>
      <c r="H51" s="22" t="s">
        <v>118</v>
      </c>
      <c r="I51" s="22" t="s">
        <v>40</v>
      </c>
      <c r="J51" s="19"/>
      <c r="K51" s="19" t="str">
        <f>"185,0"</f>
        <v>185,0</v>
      </c>
      <c r="L51" s="19" t="str">
        <f>"113,2477"</f>
        <v>113,2477</v>
      </c>
      <c r="M51" s="18" t="s">
        <v>102</v>
      </c>
    </row>
    <row r="52" spans="1:13">
      <c r="B52" s="5" t="s">
        <v>17</v>
      </c>
    </row>
    <row r="53" spans="1:13">
      <c r="B53" s="5" t="s">
        <v>17</v>
      </c>
    </row>
    <row r="54" spans="1:13">
      <c r="B54" s="5" t="s">
        <v>17</v>
      </c>
    </row>
    <row r="55" spans="1:13" ht="18">
      <c r="B55" s="9" t="s">
        <v>9</v>
      </c>
      <c r="C55" s="9"/>
    </row>
    <row r="56" spans="1:13" ht="16">
      <c r="B56" s="10" t="s">
        <v>10</v>
      </c>
      <c r="C56" s="10"/>
    </row>
    <row r="57" spans="1:13" ht="14">
      <c r="B57" s="11"/>
      <c r="C57" s="12" t="s">
        <v>91</v>
      </c>
    </row>
    <row r="58" spans="1:13" ht="14">
      <c r="B58" s="13" t="s">
        <v>11</v>
      </c>
      <c r="C58" s="13" t="s">
        <v>12</v>
      </c>
      <c r="D58" s="13" t="s">
        <v>454</v>
      </c>
      <c r="E58" s="13" t="s">
        <v>14</v>
      </c>
      <c r="F58" s="13" t="s">
        <v>92</v>
      </c>
    </row>
    <row r="59" spans="1:13">
      <c r="B59" s="5" t="s">
        <v>7</v>
      </c>
      <c r="C59" s="5" t="s">
        <v>93</v>
      </c>
      <c r="D59" s="6" t="s">
        <v>120</v>
      </c>
      <c r="E59" s="6" t="s">
        <v>143</v>
      </c>
      <c r="F59" s="6" t="s">
        <v>357</v>
      </c>
    </row>
    <row r="60" spans="1:13">
      <c r="B60" s="5" t="s">
        <v>311</v>
      </c>
      <c r="C60" s="5" t="s">
        <v>93</v>
      </c>
      <c r="D60" s="6" t="s">
        <v>94</v>
      </c>
      <c r="E60" s="6" t="s">
        <v>303</v>
      </c>
      <c r="F60" s="6" t="s">
        <v>358</v>
      </c>
    </row>
    <row r="61" spans="1:13">
      <c r="B61" s="5" t="s">
        <v>301</v>
      </c>
      <c r="C61" s="5" t="s">
        <v>274</v>
      </c>
      <c r="D61" s="6" t="s">
        <v>94</v>
      </c>
      <c r="E61" s="6" t="s">
        <v>31</v>
      </c>
      <c r="F61" s="6" t="s">
        <v>359</v>
      </c>
    </row>
    <row r="63" spans="1:13" ht="14">
      <c r="B63" s="11"/>
      <c r="C63" s="12" t="s">
        <v>95</v>
      </c>
    </row>
    <row r="64" spans="1:13" ht="14">
      <c r="B64" s="13" t="s">
        <v>11</v>
      </c>
      <c r="C64" s="13" t="s">
        <v>12</v>
      </c>
      <c r="D64" s="13" t="s">
        <v>454</v>
      </c>
      <c r="E64" s="13" t="s">
        <v>14</v>
      </c>
      <c r="F64" s="13" t="s">
        <v>92</v>
      </c>
    </row>
    <row r="65" spans="2:6">
      <c r="B65" s="5" t="s">
        <v>345</v>
      </c>
      <c r="C65" s="5" t="s">
        <v>95</v>
      </c>
      <c r="D65" s="6" t="s">
        <v>96</v>
      </c>
      <c r="E65" s="6" t="s">
        <v>40</v>
      </c>
      <c r="F65" s="6" t="s">
        <v>360</v>
      </c>
    </row>
    <row r="66" spans="2:6">
      <c r="B66" s="5" t="s">
        <v>348</v>
      </c>
      <c r="C66" s="5" t="s">
        <v>95</v>
      </c>
      <c r="D66" s="6" t="s">
        <v>96</v>
      </c>
      <c r="E66" s="6" t="s">
        <v>40</v>
      </c>
      <c r="F66" s="6" t="s">
        <v>361</v>
      </c>
    </row>
    <row r="67" spans="2:6">
      <c r="B67" s="5" t="s">
        <v>261</v>
      </c>
      <c r="C67" s="5" t="s">
        <v>95</v>
      </c>
      <c r="D67" s="6" t="s">
        <v>120</v>
      </c>
      <c r="E67" s="6" t="s">
        <v>164</v>
      </c>
      <c r="F67" s="6" t="s">
        <v>362</v>
      </c>
    </row>
  </sheetData>
  <mergeCells count="20">
    <mergeCell ref="A35:J35"/>
    <mergeCell ref="A40:J40"/>
    <mergeCell ref="A46:J46"/>
    <mergeCell ref="B3:B4"/>
    <mergeCell ref="A8:J8"/>
    <mergeCell ref="A11:J11"/>
    <mergeCell ref="A15:J15"/>
    <mergeCell ref="A23:J23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A8A3-5908-45EC-898F-312E49B963A3}">
  <dimension ref="A1:M12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42.6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7.83203125" style="5" customWidth="1"/>
    <col min="14" max="16384" width="9.1640625" style="3"/>
  </cols>
  <sheetData>
    <row r="1" spans="1:13" s="2" customFormat="1" ht="29" customHeight="1">
      <c r="A1" s="47" t="s">
        <v>434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36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289</v>
      </c>
      <c r="C6" s="7" t="s">
        <v>290</v>
      </c>
      <c r="D6" s="7" t="s">
        <v>19</v>
      </c>
      <c r="E6" s="7" t="s">
        <v>461</v>
      </c>
      <c r="F6" s="7" t="s">
        <v>197</v>
      </c>
      <c r="G6" s="14" t="s">
        <v>63</v>
      </c>
      <c r="H6" s="15" t="s">
        <v>72</v>
      </c>
      <c r="I6" s="14" t="s">
        <v>64</v>
      </c>
      <c r="J6" s="8"/>
      <c r="K6" s="8" t="str">
        <f>"145,0"</f>
        <v>145,0</v>
      </c>
      <c r="L6" s="8" t="str">
        <f>"103,3270"</f>
        <v>103,3270</v>
      </c>
      <c r="M6" s="7" t="s">
        <v>199</v>
      </c>
    </row>
    <row r="7" spans="1:13">
      <c r="B7" s="5" t="s">
        <v>17</v>
      </c>
    </row>
    <row r="8" spans="1:13" ht="16">
      <c r="A8" s="60" t="s">
        <v>25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16</v>
      </c>
      <c r="B9" s="16" t="s">
        <v>155</v>
      </c>
      <c r="C9" s="16" t="s">
        <v>156</v>
      </c>
      <c r="D9" s="16" t="s">
        <v>157</v>
      </c>
      <c r="E9" s="16" t="s">
        <v>461</v>
      </c>
      <c r="F9" s="16" t="s">
        <v>147</v>
      </c>
      <c r="G9" s="21" t="s">
        <v>158</v>
      </c>
      <c r="H9" s="21" t="s">
        <v>158</v>
      </c>
      <c r="I9" s="20" t="s">
        <v>158</v>
      </c>
      <c r="J9" s="17"/>
      <c r="K9" s="17" t="str">
        <f>"207,5"</f>
        <v>207,5</v>
      </c>
      <c r="L9" s="17" t="str">
        <f>"126,4298"</f>
        <v>126,4298</v>
      </c>
      <c r="M9" s="16" t="s">
        <v>150</v>
      </c>
    </row>
    <row r="10" spans="1:13">
      <c r="A10" s="19" t="s">
        <v>16</v>
      </c>
      <c r="B10" s="18" t="s">
        <v>26</v>
      </c>
      <c r="C10" s="18" t="s">
        <v>291</v>
      </c>
      <c r="D10" s="18" t="s">
        <v>27</v>
      </c>
      <c r="E10" s="18" t="s">
        <v>465</v>
      </c>
      <c r="F10" s="18" t="s">
        <v>451</v>
      </c>
      <c r="G10" s="22" t="s">
        <v>64</v>
      </c>
      <c r="H10" s="22" t="s">
        <v>231</v>
      </c>
      <c r="I10" s="23" t="s">
        <v>143</v>
      </c>
      <c r="J10" s="19"/>
      <c r="K10" s="19" t="str">
        <f>"147,5"</f>
        <v>147,5</v>
      </c>
      <c r="L10" s="19" t="str">
        <f>"89,9897"</f>
        <v>89,9897</v>
      </c>
      <c r="M10" s="18"/>
    </row>
    <row r="11" spans="1:13">
      <c r="B11" s="5" t="s">
        <v>17</v>
      </c>
    </row>
    <row r="12" spans="1:13">
      <c r="B12" s="5" t="s">
        <v>17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47562-DC66-4F83-B467-0F9FF40D89C9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9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32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6.33203125" style="5" customWidth="1"/>
    <col min="14" max="16384" width="9.1640625" style="3"/>
  </cols>
  <sheetData>
    <row r="1" spans="1:13" s="2" customFormat="1" ht="29" customHeight="1">
      <c r="A1" s="47" t="s">
        <v>431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457</v>
      </c>
      <c r="B3" s="68" t="s">
        <v>0</v>
      </c>
      <c r="C3" s="57" t="s">
        <v>459</v>
      </c>
      <c r="D3" s="57" t="s">
        <v>6</v>
      </c>
      <c r="E3" s="59" t="s">
        <v>460</v>
      </c>
      <c r="F3" s="59" t="s">
        <v>5</v>
      </c>
      <c r="G3" s="59" t="s">
        <v>34</v>
      </c>
      <c r="H3" s="59"/>
      <c r="I3" s="59"/>
      <c r="J3" s="59"/>
      <c r="K3" s="59" t="s">
        <v>15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5"/>
    </row>
    <row r="5" spans="1:13" ht="16">
      <c r="A5" s="66" t="s">
        <v>56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16</v>
      </c>
      <c r="B6" s="7" t="s">
        <v>369</v>
      </c>
      <c r="C6" s="7" t="s">
        <v>370</v>
      </c>
      <c r="D6" s="7" t="s">
        <v>371</v>
      </c>
      <c r="E6" s="7" t="s">
        <v>465</v>
      </c>
      <c r="F6" s="7" t="s">
        <v>372</v>
      </c>
      <c r="G6" s="14" t="s">
        <v>67</v>
      </c>
      <c r="H6" s="15" t="s">
        <v>373</v>
      </c>
      <c r="I6" s="14" t="s">
        <v>373</v>
      </c>
      <c r="J6" s="8"/>
      <c r="K6" s="8" t="str">
        <f>"245,0"</f>
        <v>245,0</v>
      </c>
      <c r="L6" s="8" t="str">
        <f>"159,2337"</f>
        <v>159,2337</v>
      </c>
      <c r="M6" s="7" t="s">
        <v>374</v>
      </c>
    </row>
    <row r="7" spans="1:13">
      <c r="B7" s="5" t="s">
        <v>17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Военный жим ДК</vt:lpstr>
      <vt:lpstr>WRPF Военный жим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2022-03-16T18:54:31Z</dcterms:modified>
</cp:coreProperties>
</file>